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defaultThemeVersion="124226"/>
  <mc:AlternateContent xmlns:mc="http://schemas.openxmlformats.org/markup-compatibility/2006">
    <mc:Choice Requires="x15">
      <x15ac:absPath xmlns:x15ac="http://schemas.microsoft.com/office/spreadsheetml/2010/11/ac" url="C:\Users\VENUS\Desktop\"/>
    </mc:Choice>
  </mc:AlternateContent>
  <xr:revisionPtr revIDLastSave="0" documentId="10_ncr:8100000_{81DA1ACA-45FE-4CA6-B267-9E16A2AE6D8C}" xr6:coauthVersionLast="33" xr6:coauthVersionMax="33" xr10:uidLastSave="{00000000-0000-0000-0000-000000000000}"/>
  <bookViews>
    <workbookView xWindow="0" yWindow="3600" windowWidth="28800" windowHeight="11610" xr2:uid="{00000000-000D-0000-FFFF-FFFF00000000}"/>
  </bookViews>
  <sheets>
    <sheet name="2018" sheetId="27" r:id="rId1"/>
    <sheet name="BOOKIE" sheetId="28" r:id="rId2"/>
    <sheet name="SET" sheetId="3" state="hidden" r:id="rId3"/>
  </sheets>
  <definedNames>
    <definedName name="_xlnm._FilterDatabase" localSheetId="1" hidden="1">BOOKIE!$C$8:$G$72</definedName>
    <definedName name="_xlnm._FilterDatabase" localSheetId="2" hidden="1">SET!$E$2:$V$2</definedName>
    <definedName name="base">BOOKIE!$C$9:$W$72</definedName>
    <definedName name="cities">SET!$F$3:$F$141</definedName>
    <definedName name="CitiesNo">MATCH(city,cities,0)</definedName>
    <definedName name="city">'2018'!$G$3</definedName>
    <definedName name="DatesColumn">BOOKIE!$J$9:$J$72</definedName>
    <definedName name="IndA">'2018'!$BE$11</definedName>
    <definedName name="IndB">'2018'!$BE$17</definedName>
    <definedName name="IndC">'2018'!$BE$23</definedName>
    <definedName name="IndD">'2018'!$BE$29</definedName>
    <definedName name="IndE">'2018'!$BE$35</definedName>
    <definedName name="IndF">'2018'!$BE$41</definedName>
    <definedName name="IndG">'2018'!$BE$47</definedName>
    <definedName name="IndH">'2018'!$BE$53</definedName>
    <definedName name="LanguagesNo">MATCH('2018'!$BN$3,LanguagesList,0)</definedName>
    <definedName name="LanguagesTbl">SET!$F$3:$L$141</definedName>
    <definedName name="NEW">AVERAGE(SET!XEZ1:XFD1)</definedName>
    <definedName name="ranking_table">SET!$O$2:$V$56</definedName>
    <definedName name="StageColumn">BOOKIE!$E$9:$E$72</definedName>
    <definedName name="Tbl">SET!$O$2:$V$34</definedName>
    <definedName name="team">'2018'!$Q$3</definedName>
    <definedName name="teams">SET!$O$3:$O$34</definedName>
    <definedName name="TeamTbl">SET!$N$2:$V$34</definedName>
    <definedName name="time_zones">SET!$F$2:$L$141</definedName>
    <definedName name="TimesInd">INDEX(SET!$L$3:$L$141,CitiesNo)</definedName>
  </definedNames>
  <calcPr calcId="162913"/>
</workbook>
</file>

<file path=xl/calcChain.xml><?xml version="1.0" encoding="utf-8"?>
<calcChain xmlns="http://schemas.openxmlformats.org/spreadsheetml/2006/main">
  <c r="BC52" i="27" l="1"/>
  <c r="BC51" i="27"/>
  <c r="BC50" i="27"/>
  <c r="BC49" i="27"/>
  <c r="BC46" i="27"/>
  <c r="BC45" i="27"/>
  <c r="BC44" i="27"/>
  <c r="BC43" i="27"/>
  <c r="BC40" i="27"/>
  <c r="BC39" i="27"/>
  <c r="BC38" i="27"/>
  <c r="BC37" i="27"/>
  <c r="BC34" i="27"/>
  <c r="BC33" i="27"/>
  <c r="BC32" i="27"/>
  <c r="BC31" i="27"/>
  <c r="BC28" i="27"/>
  <c r="BC27" i="27"/>
  <c r="BC26" i="27"/>
  <c r="BC25" i="27"/>
  <c r="BC22" i="27"/>
  <c r="BC21" i="27"/>
  <c r="BC20" i="27"/>
  <c r="BC19" i="27"/>
  <c r="BC16" i="27"/>
  <c r="BC15" i="27"/>
  <c r="BC14" i="27"/>
  <c r="BC13" i="27"/>
  <c r="BC10" i="27"/>
  <c r="BC9" i="27"/>
  <c r="BC8" i="27"/>
  <c r="BC7" i="27"/>
  <c r="G6" i="27" l="1"/>
  <c r="G1" i="3" l="1"/>
  <c r="H1" i="3"/>
  <c r="I1" i="3"/>
  <c r="J1" i="3"/>
  <c r="K1" i="3"/>
  <c r="C5" i="28"/>
  <c r="C4" i="28"/>
  <c r="C3" i="28"/>
  <c r="G2" i="28"/>
  <c r="D2" i="28"/>
  <c r="C2" i="28"/>
  <c r="P3" i="27" l="1"/>
  <c r="E8" i="28" l="1"/>
  <c r="BL3" i="27" l="1"/>
  <c r="S5" i="27" l="1"/>
  <c r="BL5" i="27" l="1"/>
  <c r="T5" i="27"/>
  <c r="R5" i="27"/>
  <c r="N5" i="27"/>
  <c r="BL4" i="27" l="1"/>
  <c r="AC6" i="27"/>
  <c r="AD6" i="27"/>
  <c r="AC12" i="27"/>
  <c r="AD12" i="27"/>
  <c r="AB5" i="27"/>
  <c r="G73" i="27" l="1"/>
  <c r="G67" i="27"/>
  <c r="G62" i="27"/>
  <c r="G58" i="27"/>
  <c r="G53" i="27"/>
  <c r="G49" i="27"/>
  <c r="G45" i="27"/>
  <c r="G41" i="27"/>
  <c r="G37" i="27"/>
  <c r="G33" i="27"/>
  <c r="G29" i="27"/>
  <c r="G25" i="27"/>
  <c r="G21" i="27"/>
  <c r="G17" i="27"/>
  <c r="G13" i="27"/>
  <c r="G9" i="27"/>
  <c r="G72" i="27"/>
  <c r="G66" i="27"/>
  <c r="G61" i="27"/>
  <c r="G57" i="27"/>
  <c r="G52" i="27"/>
  <c r="G48" i="27"/>
  <c r="G44" i="27"/>
  <c r="G40" i="27"/>
  <c r="G36" i="27"/>
  <c r="G32" i="27"/>
  <c r="G28" i="27"/>
  <c r="G24" i="27"/>
  <c r="G20" i="27"/>
  <c r="G16" i="27"/>
  <c r="G12" i="27"/>
  <c r="G8" i="27"/>
  <c r="G70" i="27"/>
  <c r="G65" i="27"/>
  <c r="G60" i="27"/>
  <c r="G56" i="27"/>
  <c r="G51" i="27"/>
  <c r="G47" i="27"/>
  <c r="G43" i="27"/>
  <c r="G39" i="27"/>
  <c r="G35" i="27"/>
  <c r="G31" i="27"/>
  <c r="G27" i="27"/>
  <c r="G23" i="27"/>
  <c r="G19" i="27"/>
  <c r="G15" i="27"/>
  <c r="G11" i="27"/>
  <c r="G7" i="27"/>
  <c r="G69" i="27"/>
  <c r="G64" i="27"/>
  <c r="G59" i="27"/>
  <c r="G55" i="27"/>
  <c r="G50" i="27"/>
  <c r="G46" i="27"/>
  <c r="G42" i="27"/>
  <c r="G38" i="27"/>
  <c r="G34" i="27"/>
  <c r="G30" i="27"/>
  <c r="G26" i="27"/>
  <c r="G22" i="27"/>
  <c r="G18" i="27"/>
  <c r="G14" i="27"/>
  <c r="G10" i="27"/>
  <c r="K5" i="27" l="1"/>
  <c r="J5" i="27"/>
  <c r="I5" i="27"/>
  <c r="H5" i="27"/>
  <c r="G5" i="27" l="1"/>
  <c r="AD5" i="27"/>
  <c r="AC5" i="27"/>
  <c r="AA5" i="27"/>
  <c r="H8" i="28" l="1"/>
  <c r="G8" i="28"/>
  <c r="F8" i="28"/>
  <c r="D8" i="28"/>
  <c r="C8" i="28"/>
  <c r="I3" i="27"/>
  <c r="H21" i="28" l="1"/>
  <c r="Q3" i="3" l="1"/>
  <c r="AC30" i="27" l="1"/>
  <c r="AD30" i="27"/>
  <c r="L45" i="28" l="1"/>
  <c r="M45" i="28"/>
  <c r="N45" i="28"/>
  <c r="L46" i="28"/>
  <c r="M46" i="28"/>
  <c r="N46" i="28"/>
  <c r="L47" i="28"/>
  <c r="M47" i="28"/>
  <c r="N47" i="28"/>
  <c r="L48" i="28"/>
  <c r="M48" i="28"/>
  <c r="N48" i="28"/>
  <c r="L49" i="28"/>
  <c r="M49" i="28"/>
  <c r="N49" i="28"/>
  <c r="L50" i="28"/>
  <c r="M50" i="28"/>
  <c r="N50" i="28"/>
  <c r="L51" i="28"/>
  <c r="M51" i="28"/>
  <c r="N51" i="28"/>
  <c r="L52" i="28"/>
  <c r="M52" i="28"/>
  <c r="N52" i="28"/>
  <c r="L53" i="28"/>
  <c r="M53" i="28"/>
  <c r="N53" i="28"/>
  <c r="L54" i="28"/>
  <c r="M54" i="28"/>
  <c r="N54" i="28"/>
  <c r="L55" i="28"/>
  <c r="M55" i="28"/>
  <c r="N55" i="28"/>
  <c r="L56" i="28"/>
  <c r="M56" i="28"/>
  <c r="N56" i="28"/>
  <c r="L57" i="28"/>
  <c r="M57" i="28"/>
  <c r="N57" i="28"/>
  <c r="L58" i="28"/>
  <c r="M58" i="28"/>
  <c r="N58" i="28"/>
  <c r="L59" i="28"/>
  <c r="M59" i="28"/>
  <c r="N59" i="28"/>
  <c r="L60" i="28"/>
  <c r="M60" i="28"/>
  <c r="N60" i="28"/>
  <c r="L61" i="28"/>
  <c r="M61" i="28"/>
  <c r="N61" i="28"/>
  <c r="H45" i="28"/>
  <c r="I45" i="28"/>
  <c r="H46" i="28"/>
  <c r="I46" i="28"/>
  <c r="H47" i="28"/>
  <c r="I47" i="28"/>
  <c r="H48" i="28"/>
  <c r="I48" i="28"/>
  <c r="H49" i="28"/>
  <c r="I49" i="28"/>
  <c r="H50" i="28"/>
  <c r="I50" i="28"/>
  <c r="H51" i="28"/>
  <c r="I51" i="28"/>
  <c r="H52" i="28"/>
  <c r="I52" i="28"/>
  <c r="H53" i="28"/>
  <c r="I53" i="28"/>
  <c r="H54" i="28"/>
  <c r="I54" i="28"/>
  <c r="H55" i="28"/>
  <c r="I55" i="28"/>
  <c r="H56" i="28"/>
  <c r="I56" i="28"/>
  <c r="H57" i="28"/>
  <c r="I57" i="28"/>
  <c r="H58" i="28"/>
  <c r="I58" i="28"/>
  <c r="H59" i="28"/>
  <c r="I59" i="28"/>
  <c r="H60" i="28"/>
  <c r="I60" i="28"/>
  <c r="H61" i="28"/>
  <c r="I61" i="28"/>
  <c r="H62" i="28"/>
  <c r="I62" i="28"/>
  <c r="H63" i="28"/>
  <c r="I63" i="28"/>
  <c r="H64" i="28"/>
  <c r="I64" i="28"/>
  <c r="H65" i="28"/>
  <c r="I65" i="28"/>
  <c r="H66" i="28"/>
  <c r="I66" i="28"/>
  <c r="H67" i="28"/>
  <c r="I67" i="28"/>
  <c r="H68" i="28"/>
  <c r="I68" i="28"/>
  <c r="H69" i="28"/>
  <c r="I69" i="28"/>
  <c r="H70" i="28"/>
  <c r="I70" i="28"/>
  <c r="H71" i="28"/>
  <c r="I71" i="28"/>
  <c r="H72" i="28"/>
  <c r="I72" i="28"/>
  <c r="K58" i="28" l="1"/>
  <c r="W58" i="28" s="1"/>
  <c r="K55" i="28"/>
  <c r="K53" i="28"/>
  <c r="K51" i="28"/>
  <c r="K49" i="28"/>
  <c r="K47" i="28"/>
  <c r="K45" i="28"/>
  <c r="K56" i="28"/>
  <c r="K54" i="28"/>
  <c r="K52" i="28"/>
  <c r="K50" i="28"/>
  <c r="K48" i="28"/>
  <c r="K46" i="28"/>
  <c r="K61" i="28"/>
  <c r="K59" i="28"/>
  <c r="K57" i="28"/>
  <c r="K60" i="28"/>
  <c r="M41" i="27"/>
  <c r="M43" i="27"/>
  <c r="M44" i="27"/>
  <c r="M45" i="27"/>
  <c r="M46" i="27"/>
  <c r="M47" i="27"/>
  <c r="M48" i="27"/>
  <c r="M49" i="27"/>
  <c r="M50" i="27"/>
  <c r="M51" i="27"/>
  <c r="M52" i="27"/>
  <c r="M53" i="27"/>
  <c r="M42" i="27"/>
  <c r="W50" i="28" l="1"/>
  <c r="T56" i="28"/>
  <c r="T52" i="28"/>
  <c r="Q46" i="28"/>
  <c r="Q48" i="28"/>
  <c r="Q58" i="28"/>
  <c r="T58" i="28"/>
  <c r="W56" i="28"/>
  <c r="W51" i="28"/>
  <c r="T53" i="28"/>
  <c r="T45" i="28"/>
  <c r="W57" i="28"/>
  <c r="Q54" i="28"/>
  <c r="T60" i="28"/>
  <c r="W49" i="28"/>
  <c r="T48" i="28"/>
  <c r="T46" i="28"/>
  <c r="Q47" i="28"/>
  <c r="Q49" i="28"/>
  <c r="T51" i="28"/>
  <c r="Q55" i="28"/>
  <c r="Q59" i="28"/>
  <c r="T61" i="28"/>
  <c r="W48" i="28"/>
  <c r="W46" i="28"/>
  <c r="T50" i="28"/>
  <c r="T54" i="28"/>
  <c r="W52" i="28"/>
  <c r="W60" i="28"/>
  <c r="W45" i="28"/>
  <c r="W47" i="28"/>
  <c r="T49" i="28"/>
  <c r="W53" i="28"/>
  <c r="W55" i="28"/>
  <c r="T57" i="28"/>
  <c r="T59" i="28"/>
  <c r="W61" i="28"/>
  <c r="Q56" i="28"/>
  <c r="Q52" i="28"/>
  <c r="Q50" i="28"/>
  <c r="W54" i="28"/>
  <c r="Q61" i="28"/>
  <c r="Q60" i="28"/>
  <c r="Q45" i="28"/>
  <c r="T47" i="28"/>
  <c r="Q51" i="28"/>
  <c r="Q53" i="28"/>
  <c r="T55" i="28"/>
  <c r="Q57" i="28"/>
  <c r="W59" i="28"/>
  <c r="I44" i="28" l="1"/>
  <c r="H44" i="28"/>
  <c r="I43" i="28"/>
  <c r="H43" i="28"/>
  <c r="I42" i="28"/>
  <c r="H42" i="28"/>
  <c r="I41" i="28"/>
  <c r="H41" i="28"/>
  <c r="I40" i="28"/>
  <c r="H40" i="28"/>
  <c r="I39" i="28"/>
  <c r="H39" i="28"/>
  <c r="I38" i="28"/>
  <c r="H38" i="28"/>
  <c r="I37" i="28"/>
  <c r="H37" i="28"/>
  <c r="I36" i="28"/>
  <c r="H36" i="28"/>
  <c r="I35" i="28"/>
  <c r="H35" i="28"/>
  <c r="I34" i="28"/>
  <c r="H34" i="28"/>
  <c r="I33" i="28"/>
  <c r="H33" i="28"/>
  <c r="I32" i="28"/>
  <c r="H32" i="28"/>
  <c r="I31" i="28"/>
  <c r="H31" i="28"/>
  <c r="I30" i="28"/>
  <c r="H30" i="28"/>
  <c r="I29" i="28"/>
  <c r="H29" i="28"/>
  <c r="I28" i="28"/>
  <c r="H28" i="28"/>
  <c r="I27" i="28"/>
  <c r="H27" i="28"/>
  <c r="I26" i="28"/>
  <c r="H26" i="28"/>
  <c r="I25" i="28"/>
  <c r="H25" i="28"/>
  <c r="I24" i="28"/>
  <c r="H24" i="28"/>
  <c r="I23" i="28"/>
  <c r="H23" i="28"/>
  <c r="I22" i="28"/>
  <c r="H22" i="28"/>
  <c r="I21" i="28"/>
  <c r="I20" i="28"/>
  <c r="H20" i="28"/>
  <c r="I19" i="28"/>
  <c r="H19" i="28"/>
  <c r="I18" i="28"/>
  <c r="H18" i="28"/>
  <c r="I17" i="28"/>
  <c r="H17" i="28"/>
  <c r="I16" i="28"/>
  <c r="H16" i="28"/>
  <c r="I15" i="28"/>
  <c r="H15" i="28"/>
  <c r="I14" i="28"/>
  <c r="H14" i="28"/>
  <c r="I13" i="28"/>
  <c r="H13" i="28"/>
  <c r="I12" i="28"/>
  <c r="H12" i="28"/>
  <c r="I11" i="28"/>
  <c r="H11" i="28"/>
  <c r="I10" i="28"/>
  <c r="H10" i="28"/>
  <c r="I9" i="28"/>
  <c r="H9" i="28"/>
  <c r="N72" i="28" l="1"/>
  <c r="M72" i="28"/>
  <c r="L72" i="28"/>
  <c r="N71" i="28"/>
  <c r="M71" i="28"/>
  <c r="L71" i="28"/>
  <c r="N70" i="28"/>
  <c r="M70" i="28"/>
  <c r="L70" i="28"/>
  <c r="N69" i="28"/>
  <c r="M69" i="28"/>
  <c r="L69" i="28"/>
  <c r="N68" i="28"/>
  <c r="M68" i="28"/>
  <c r="L68" i="28"/>
  <c r="N67" i="28"/>
  <c r="M67" i="28"/>
  <c r="L67" i="28"/>
  <c r="N66" i="28"/>
  <c r="M66" i="28"/>
  <c r="L66" i="28"/>
  <c r="N65" i="28"/>
  <c r="M65" i="28"/>
  <c r="L65" i="28"/>
  <c r="N64" i="28"/>
  <c r="M64" i="28"/>
  <c r="L64" i="28"/>
  <c r="N63" i="28"/>
  <c r="M63" i="28"/>
  <c r="L63" i="28"/>
  <c r="N62" i="28"/>
  <c r="M62" i="28"/>
  <c r="L62" i="28"/>
  <c r="N44" i="28"/>
  <c r="M44" i="28"/>
  <c r="L44" i="28"/>
  <c r="N43" i="28"/>
  <c r="M43" i="28"/>
  <c r="L43" i="28"/>
  <c r="N42" i="28"/>
  <c r="M42" i="28"/>
  <c r="L42" i="28"/>
  <c r="N41" i="28"/>
  <c r="M41" i="28"/>
  <c r="L41" i="28"/>
  <c r="N40" i="28"/>
  <c r="M40" i="28"/>
  <c r="L40" i="28"/>
  <c r="N39" i="28"/>
  <c r="M39" i="28"/>
  <c r="L39" i="28"/>
  <c r="N38" i="28"/>
  <c r="M38" i="28"/>
  <c r="L38" i="28"/>
  <c r="N37" i="28"/>
  <c r="M37" i="28"/>
  <c r="L37" i="28"/>
  <c r="N36" i="28"/>
  <c r="M36" i="28"/>
  <c r="L36" i="28"/>
  <c r="N35" i="28"/>
  <c r="M35" i="28"/>
  <c r="L35" i="28"/>
  <c r="N34" i="28"/>
  <c r="M34" i="28"/>
  <c r="L34" i="28"/>
  <c r="N33" i="28"/>
  <c r="M33" i="28"/>
  <c r="L33" i="28"/>
  <c r="N32" i="28"/>
  <c r="M32" i="28"/>
  <c r="L32" i="28"/>
  <c r="N31" i="28"/>
  <c r="M31" i="28"/>
  <c r="L31" i="28"/>
  <c r="N30" i="28"/>
  <c r="M30" i="28"/>
  <c r="L30" i="28"/>
  <c r="N29" i="28"/>
  <c r="M29" i="28"/>
  <c r="L29" i="28"/>
  <c r="N28" i="28"/>
  <c r="M28" i="28"/>
  <c r="L28" i="28"/>
  <c r="N27" i="28"/>
  <c r="M27" i="28"/>
  <c r="L27" i="28"/>
  <c r="N26" i="28"/>
  <c r="M26" i="28"/>
  <c r="L26" i="28"/>
  <c r="N25" i="28"/>
  <c r="M25" i="28"/>
  <c r="L25" i="28"/>
  <c r="N24" i="28"/>
  <c r="M24" i="28"/>
  <c r="L24" i="28"/>
  <c r="N23" i="28"/>
  <c r="M23" i="28"/>
  <c r="L23" i="28"/>
  <c r="N22" i="28"/>
  <c r="M22" i="28"/>
  <c r="L22" i="28"/>
  <c r="N21" i="28"/>
  <c r="M21" i="28"/>
  <c r="L21" i="28"/>
  <c r="N20" i="28"/>
  <c r="M20" i="28"/>
  <c r="L20" i="28"/>
  <c r="N19" i="28"/>
  <c r="M19" i="28"/>
  <c r="L19" i="28"/>
  <c r="N18" i="28"/>
  <c r="M18" i="28"/>
  <c r="L18" i="28"/>
  <c r="N17" i="28"/>
  <c r="M17" i="28"/>
  <c r="L17" i="28"/>
  <c r="N16" i="28"/>
  <c r="M16" i="28"/>
  <c r="L16" i="28"/>
  <c r="N15" i="28"/>
  <c r="M15" i="28"/>
  <c r="L15" i="28"/>
  <c r="N14" i="28"/>
  <c r="M14" i="28"/>
  <c r="L14" i="28"/>
  <c r="N13" i="28"/>
  <c r="M13" i="28"/>
  <c r="L13" i="28"/>
  <c r="N12" i="28"/>
  <c r="M12" i="28"/>
  <c r="L12" i="28"/>
  <c r="N11" i="28"/>
  <c r="M11" i="28"/>
  <c r="L11" i="28"/>
  <c r="N10" i="28"/>
  <c r="M10" i="28"/>
  <c r="L10" i="28"/>
  <c r="N9" i="28"/>
  <c r="M9" i="28"/>
  <c r="L9" i="28"/>
  <c r="Q4" i="3" l="1"/>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AD53" i="27" l="1"/>
  <c r="AC53" i="27"/>
  <c r="AD52" i="27"/>
  <c r="AC52" i="27"/>
  <c r="AD51" i="27"/>
  <c r="AC51" i="27"/>
  <c r="AD50" i="27"/>
  <c r="AC50" i="27"/>
  <c r="AD49" i="27"/>
  <c r="AC49" i="27"/>
  <c r="AD48" i="27"/>
  <c r="AC48" i="27"/>
  <c r="AD47" i="27"/>
  <c r="AC47" i="27"/>
  <c r="AD46" i="27"/>
  <c r="AC46" i="27"/>
  <c r="AD45" i="27"/>
  <c r="AC45" i="27"/>
  <c r="AD44" i="27"/>
  <c r="AC44" i="27"/>
  <c r="AD43" i="27"/>
  <c r="AC43" i="27"/>
  <c r="AD42" i="27"/>
  <c r="AC42" i="27"/>
  <c r="S31" i="3" l="1"/>
  <c r="S30" i="3"/>
  <c r="S27" i="3"/>
  <c r="S11" i="3"/>
  <c r="S28" i="3"/>
  <c r="S33" i="3"/>
  <c r="S32" i="3"/>
  <c r="S12" i="3"/>
  <c r="S18" i="3"/>
  <c r="S15" i="3"/>
  <c r="S9" i="3"/>
  <c r="S23" i="3"/>
  <c r="S13" i="3"/>
  <c r="S22" i="3"/>
  <c r="S26" i="3"/>
  <c r="S8" i="3"/>
  <c r="S7" i="3"/>
  <c r="S16" i="3"/>
  <c r="S19" i="3"/>
  <c r="S24" i="3"/>
  <c r="T28" i="3"/>
  <c r="T33" i="3"/>
  <c r="T32" i="3"/>
  <c r="N30" i="3"/>
  <c r="T30" i="3" l="1"/>
  <c r="T27" i="3"/>
  <c r="T31" i="3"/>
  <c r="S20" i="3"/>
  <c r="S10" i="3"/>
  <c r="S6" i="3"/>
  <c r="S17" i="3"/>
  <c r="S25" i="3"/>
  <c r="S14" i="3"/>
  <c r="S3" i="3"/>
  <c r="S4" i="3"/>
  <c r="S29" i="3"/>
  <c r="T29" i="3" s="1"/>
  <c r="S5" i="3"/>
  <c r="S21" i="3"/>
  <c r="S34" i="3"/>
  <c r="T34" i="3" s="1"/>
  <c r="N31" i="3"/>
  <c r="N32" i="3"/>
  <c r="N33" i="3"/>
  <c r="N34" i="3"/>
  <c r="N27" i="3"/>
  <c r="N28" i="3"/>
  <c r="N29" i="3"/>
  <c r="H44" i="27" l="1"/>
  <c r="D47" i="28" s="1"/>
  <c r="C47" i="28"/>
  <c r="J47" i="28" s="1"/>
  <c r="H72" i="27"/>
  <c r="D71" i="28" s="1"/>
  <c r="C71" i="28"/>
  <c r="J71" i="28" s="1"/>
  <c r="H45" i="27"/>
  <c r="D48" i="28" s="1"/>
  <c r="C48" i="28"/>
  <c r="J48" i="28" s="1"/>
  <c r="H42" i="27"/>
  <c r="D45" i="28" s="1"/>
  <c r="C45" i="28"/>
  <c r="J45" i="28" s="1"/>
  <c r="H46" i="27"/>
  <c r="D49" i="28" s="1"/>
  <c r="C49" i="28"/>
  <c r="J49" i="28" s="1"/>
  <c r="H43" i="27"/>
  <c r="D46" i="28" s="1"/>
  <c r="C46" i="28"/>
  <c r="J46" i="28" s="1"/>
  <c r="H47" i="27"/>
  <c r="D50" i="28" s="1"/>
  <c r="C50" i="28"/>
  <c r="J50" i="28" s="1"/>
  <c r="N10" i="3"/>
  <c r="N12" i="3"/>
  <c r="N18" i="3"/>
  <c r="N4" i="3"/>
  <c r="N21" i="3"/>
  <c r="N15" i="3"/>
  <c r="N9" i="3"/>
  <c r="N5" i="3"/>
  <c r="N23" i="3"/>
  <c r="N13" i="3"/>
  <c r="N14" i="3"/>
  <c r="N20" i="3"/>
  <c r="N22" i="3"/>
  <c r="N26" i="3"/>
  <c r="N25" i="3"/>
  <c r="N11" i="3"/>
  <c r="N8" i="3"/>
  <c r="N7" i="3"/>
  <c r="N17" i="3"/>
  <c r="N16" i="3"/>
  <c r="N19" i="3"/>
  <c r="N24" i="3"/>
  <c r="N6" i="3"/>
  <c r="N3" i="3"/>
  <c r="AT15" i="27" l="1"/>
  <c r="AT51" i="27"/>
  <c r="AT14" i="27"/>
  <c r="AT50" i="27"/>
  <c r="AT52" i="27"/>
  <c r="AT13" i="27"/>
  <c r="AT49" i="27"/>
  <c r="AT16" i="27"/>
  <c r="I25" i="27"/>
  <c r="AT46" i="27"/>
  <c r="AT40" i="27"/>
  <c r="AT34" i="27"/>
  <c r="AT28" i="27"/>
  <c r="AT44" i="27"/>
  <c r="AT32" i="27"/>
  <c r="AT37" i="27"/>
  <c r="AT31" i="27"/>
  <c r="AT45" i="27"/>
  <c r="AT39" i="27"/>
  <c r="AT33" i="27"/>
  <c r="AT27" i="27"/>
  <c r="AT38" i="27"/>
  <c r="AT26" i="27"/>
  <c r="AT43" i="27"/>
  <c r="AT25" i="27"/>
  <c r="AT20" i="27"/>
  <c r="AT22" i="27"/>
  <c r="AT19" i="27"/>
  <c r="AT21" i="27"/>
  <c r="I42" i="27"/>
  <c r="F45" i="28" s="1"/>
  <c r="AT9" i="27"/>
  <c r="AT10" i="27"/>
  <c r="AT8" i="27"/>
  <c r="AT7" i="27"/>
  <c r="I7" i="27"/>
  <c r="I9" i="27"/>
  <c r="I11" i="27"/>
  <c r="I13" i="27"/>
  <c r="I15" i="27"/>
  <c r="I17" i="27"/>
  <c r="I19" i="27"/>
  <c r="I21" i="27"/>
  <c r="I23" i="27"/>
  <c r="I27" i="27"/>
  <c r="I29" i="27"/>
  <c r="I31" i="27"/>
  <c r="I33" i="27"/>
  <c r="I35" i="27"/>
  <c r="I37" i="27"/>
  <c r="I39" i="27"/>
  <c r="I41" i="27"/>
  <c r="I43" i="27"/>
  <c r="F46" i="28" s="1"/>
  <c r="I45" i="27"/>
  <c r="I47" i="27"/>
  <c r="I49" i="27"/>
  <c r="F52" i="28" s="1"/>
  <c r="I51" i="27"/>
  <c r="I53" i="27"/>
  <c r="J7" i="27"/>
  <c r="J9" i="27"/>
  <c r="J11" i="27"/>
  <c r="J13" i="27"/>
  <c r="J15" i="27"/>
  <c r="J17" i="27"/>
  <c r="J19" i="27"/>
  <c r="J21" i="27"/>
  <c r="J23" i="27"/>
  <c r="J25" i="27"/>
  <c r="J27" i="27"/>
  <c r="J29" i="27"/>
  <c r="J31" i="27"/>
  <c r="J33" i="27"/>
  <c r="J35" i="27"/>
  <c r="J37" i="27"/>
  <c r="J39" i="27"/>
  <c r="J41" i="27"/>
  <c r="J43" i="27"/>
  <c r="G46" i="28" s="1"/>
  <c r="J45" i="27"/>
  <c r="J47" i="27"/>
  <c r="J49" i="27"/>
  <c r="G52" i="28" s="1"/>
  <c r="J51" i="27"/>
  <c r="J53" i="27"/>
  <c r="I8" i="27"/>
  <c r="I10" i="27"/>
  <c r="I12" i="27"/>
  <c r="AA12" i="27" s="1"/>
  <c r="I14" i="27"/>
  <c r="I16" i="27"/>
  <c r="I18" i="27"/>
  <c r="I20" i="27"/>
  <c r="I22" i="27"/>
  <c r="I24" i="27"/>
  <c r="I26" i="27"/>
  <c r="I28" i="27"/>
  <c r="I30" i="27"/>
  <c r="AA30" i="27" s="1"/>
  <c r="I32" i="27"/>
  <c r="I34" i="27"/>
  <c r="I36" i="27"/>
  <c r="I38" i="27"/>
  <c r="I40" i="27"/>
  <c r="I44" i="27"/>
  <c r="I46" i="27"/>
  <c r="I48" i="27"/>
  <c r="F51" i="28" s="1"/>
  <c r="I50" i="27"/>
  <c r="I52" i="27"/>
  <c r="J6" i="27"/>
  <c r="AB6" i="27" s="1"/>
  <c r="J8" i="27"/>
  <c r="J10" i="27"/>
  <c r="J12" i="27"/>
  <c r="AB12" i="27" s="1"/>
  <c r="J14" i="27"/>
  <c r="J16" i="27"/>
  <c r="J18" i="27"/>
  <c r="J20" i="27"/>
  <c r="J22" i="27"/>
  <c r="J24" i="27"/>
  <c r="J26" i="27"/>
  <c r="J28" i="27"/>
  <c r="J30" i="27"/>
  <c r="AB30" i="27" s="1"/>
  <c r="J32" i="27"/>
  <c r="J34" i="27"/>
  <c r="J36" i="27"/>
  <c r="J38" i="27"/>
  <c r="J40" i="27"/>
  <c r="J42" i="27"/>
  <c r="G45" i="28" s="1"/>
  <c r="J44" i="27"/>
  <c r="J46" i="27"/>
  <c r="J48" i="27"/>
  <c r="G51" i="28" s="1"/>
  <c r="J50" i="27"/>
  <c r="J52" i="27"/>
  <c r="I6" i="27"/>
  <c r="AA6" i="27" s="1"/>
  <c r="AF5" i="27" l="1"/>
  <c r="AE5" i="27"/>
  <c r="AG5" i="27" s="1"/>
  <c r="BA50" i="27"/>
  <c r="BA49" i="27"/>
  <c r="BA51" i="27"/>
  <c r="BB52" i="27"/>
  <c r="BB50" i="27"/>
  <c r="BB49" i="27"/>
  <c r="BB51" i="27"/>
  <c r="BA52" i="27"/>
  <c r="AA46" i="27"/>
  <c r="F49" i="28"/>
  <c r="AB52" i="27"/>
  <c r="G55" i="28"/>
  <c r="AB44" i="27"/>
  <c r="G47" i="28"/>
  <c r="AA52" i="27"/>
  <c r="F55" i="28"/>
  <c r="AA44" i="27"/>
  <c r="F47" i="28"/>
  <c r="AA51" i="27"/>
  <c r="F54" i="28"/>
  <c r="AA50" i="27"/>
  <c r="F53" i="28"/>
  <c r="AB47" i="27"/>
  <c r="G50" i="28"/>
  <c r="AA47" i="27"/>
  <c r="F50" i="28"/>
  <c r="AB46" i="27"/>
  <c r="G49" i="28"/>
  <c r="AB51" i="27"/>
  <c r="G54" i="28"/>
  <c r="AB50" i="27"/>
  <c r="G53" i="28"/>
  <c r="AB53" i="27"/>
  <c r="G56" i="28"/>
  <c r="AB45" i="27"/>
  <c r="G48" i="28"/>
  <c r="AA53" i="27"/>
  <c r="F56" i="28"/>
  <c r="AA45" i="27"/>
  <c r="F48" i="28"/>
  <c r="BA46" i="27"/>
  <c r="BA44" i="27"/>
  <c r="BB43" i="27"/>
  <c r="BA45" i="27"/>
  <c r="BA43" i="27"/>
  <c r="AA43" i="27"/>
  <c r="AA49" i="27"/>
  <c r="AB42" i="27"/>
  <c r="AA48" i="27"/>
  <c r="AB43" i="27"/>
  <c r="AB48" i="27"/>
  <c r="AB49" i="27"/>
  <c r="AA42" i="27"/>
  <c r="H50" i="27" l="1"/>
  <c r="D53" i="28" s="1"/>
  <c r="C53" i="28"/>
  <c r="J53" i="28" s="1"/>
  <c r="H53" i="27"/>
  <c r="D56" i="28" s="1"/>
  <c r="C56" i="28"/>
  <c r="J56" i="28" s="1"/>
  <c r="H49" i="27"/>
  <c r="D52" i="28" s="1"/>
  <c r="C52" i="28"/>
  <c r="J52" i="28" s="1"/>
  <c r="H51" i="27"/>
  <c r="D54" i="28" s="1"/>
  <c r="C54" i="28"/>
  <c r="J54" i="28" s="1"/>
  <c r="H52" i="27"/>
  <c r="D55" i="28" s="1"/>
  <c r="C55" i="28"/>
  <c r="J55" i="28" s="1"/>
  <c r="H48" i="27"/>
  <c r="D51" i="28" s="1"/>
  <c r="C51" i="28"/>
  <c r="J51" i="28" s="1"/>
  <c r="AZ49" i="27" l="1"/>
  <c r="AZ43" i="27"/>
  <c r="K9" i="28" l="1"/>
  <c r="Q9" i="28" s="1"/>
  <c r="G44" i="28"/>
  <c r="F44" i="28"/>
  <c r="G43" i="28"/>
  <c r="F43" i="28"/>
  <c r="G42" i="28"/>
  <c r="F42" i="28"/>
  <c r="G41" i="28"/>
  <c r="F41" i="28"/>
  <c r="G40" i="28"/>
  <c r="F40" i="28"/>
  <c r="G39" i="28"/>
  <c r="F39" i="28"/>
  <c r="G38" i="28"/>
  <c r="F38" i="28"/>
  <c r="G37" i="28"/>
  <c r="F37" i="28"/>
  <c r="G36" i="28"/>
  <c r="F36" i="28"/>
  <c r="G35" i="28"/>
  <c r="F35" i="28"/>
  <c r="G34" i="28"/>
  <c r="F34" i="28"/>
  <c r="G33" i="28"/>
  <c r="F33" i="28"/>
  <c r="G32" i="28"/>
  <c r="F32" i="28"/>
  <c r="G31" i="28"/>
  <c r="F31" i="28"/>
  <c r="G30" i="28"/>
  <c r="F30" i="28"/>
  <c r="K29" i="28"/>
  <c r="G29" i="28"/>
  <c r="F29" i="28"/>
  <c r="K28" i="28"/>
  <c r="G28" i="28"/>
  <c r="F28" i="28"/>
  <c r="G27" i="28"/>
  <c r="F27" i="28"/>
  <c r="G26" i="28"/>
  <c r="F26" i="28"/>
  <c r="G25" i="28"/>
  <c r="F25" i="28"/>
  <c r="G24" i="28"/>
  <c r="F24" i="28"/>
  <c r="G23" i="28"/>
  <c r="F23" i="28"/>
  <c r="G22" i="28"/>
  <c r="F22" i="28"/>
  <c r="K21" i="28"/>
  <c r="G21" i="28"/>
  <c r="F21" i="28"/>
  <c r="K20" i="28"/>
  <c r="G20" i="28"/>
  <c r="F20" i="28"/>
  <c r="K19" i="28"/>
  <c r="G19" i="28"/>
  <c r="F19" i="28"/>
  <c r="G18" i="28"/>
  <c r="F18" i="28"/>
  <c r="G17" i="28"/>
  <c r="F17" i="28"/>
  <c r="G16" i="28"/>
  <c r="F16" i="28"/>
  <c r="K15" i="28"/>
  <c r="G15" i="28"/>
  <c r="F15" i="28"/>
  <c r="G14" i="28"/>
  <c r="F14" i="28"/>
  <c r="G13" i="28"/>
  <c r="F13" i="28"/>
  <c r="G12" i="28"/>
  <c r="F12" i="28"/>
  <c r="G11" i="28"/>
  <c r="F11" i="28"/>
  <c r="G10" i="28"/>
  <c r="F10" i="28"/>
  <c r="G9" i="28"/>
  <c r="T21" i="28" l="1"/>
  <c r="Q21" i="28"/>
  <c r="Q28" i="28"/>
  <c r="T28" i="28"/>
  <c r="T15" i="28"/>
  <c r="Q15" i="28"/>
  <c r="Q20" i="28"/>
  <c r="T20" i="28"/>
  <c r="T19" i="28"/>
  <c r="Q19" i="28"/>
  <c r="T29" i="28"/>
  <c r="Q29" i="28"/>
  <c r="W29" i="28"/>
  <c r="W9" i="28"/>
  <c r="W21" i="28"/>
  <c r="W20" i="28"/>
  <c r="W28" i="28"/>
  <c r="T9" i="28"/>
  <c r="W15" i="28"/>
  <c r="W19" i="28"/>
  <c r="K65" i="28"/>
  <c r="K31" i="28"/>
  <c r="K69" i="28"/>
  <c r="K10" i="28"/>
  <c r="K11" i="28"/>
  <c r="K34" i="28"/>
  <c r="K42" i="28"/>
  <c r="K43" i="28"/>
  <c r="K66" i="28"/>
  <c r="K68" i="28"/>
  <c r="K18" i="28"/>
  <c r="K26" i="28"/>
  <c r="K27" i="28"/>
  <c r="K35" i="28"/>
  <c r="K36" i="28"/>
  <c r="K37" i="28"/>
  <c r="K44" i="28"/>
  <c r="K63" i="28"/>
  <c r="K70" i="28"/>
  <c r="K71" i="28"/>
  <c r="K67" i="28"/>
  <c r="K72" i="28"/>
  <c r="K12" i="28"/>
  <c r="K13" i="28"/>
  <c r="K23" i="28"/>
  <c r="K39" i="28"/>
  <c r="K14" i="28"/>
  <c r="K16" i="28"/>
  <c r="K17" i="28"/>
  <c r="K30" i="28"/>
  <c r="K32" i="28"/>
  <c r="K33" i="28"/>
  <c r="K62" i="28"/>
  <c r="K64" i="28"/>
  <c r="K22" i="28"/>
  <c r="K24" i="28"/>
  <c r="K25" i="28"/>
  <c r="K38" i="28"/>
  <c r="K40" i="28"/>
  <c r="K41" i="28"/>
  <c r="Q14" i="28" l="1"/>
  <c r="T14" i="28"/>
  <c r="Q38" i="28"/>
  <c r="T38" i="28"/>
  <c r="T10" i="28"/>
  <c r="T12" i="28"/>
  <c r="T25" i="28"/>
  <c r="Q25" i="28"/>
  <c r="Q17" i="28"/>
  <c r="T17" i="28"/>
  <c r="W63" i="28"/>
  <c r="T63" i="28"/>
  <c r="Q63" i="28"/>
  <c r="Q34" i="28"/>
  <c r="T34" i="28"/>
  <c r="Q65" i="28"/>
  <c r="W65" i="28"/>
  <c r="T65" i="28"/>
  <c r="T41" i="28"/>
  <c r="W41" i="28"/>
  <c r="Q41" i="28"/>
  <c r="Q24" i="28"/>
  <c r="T24" i="28"/>
  <c r="Q33" i="28"/>
  <c r="T33" i="28"/>
  <c r="Q16" i="28"/>
  <c r="T16" i="28"/>
  <c r="W67" i="28"/>
  <c r="T67" i="28"/>
  <c r="Q67" i="28"/>
  <c r="W44" i="28"/>
  <c r="T44" i="28"/>
  <c r="Q44" i="28"/>
  <c r="T27" i="28"/>
  <c r="Q27" i="28"/>
  <c r="Q66" i="28"/>
  <c r="W66" i="28"/>
  <c r="T66" i="28"/>
  <c r="T11" i="28"/>
  <c r="T23" i="28"/>
  <c r="Q23" i="28"/>
  <c r="T35" i="28"/>
  <c r="Q35" i="28"/>
  <c r="T40" i="28"/>
  <c r="Q40" i="28"/>
  <c r="Q22" i="28"/>
  <c r="T22" i="28"/>
  <c r="T32" i="28"/>
  <c r="Q32" i="28"/>
  <c r="T13" i="28"/>
  <c r="Q13" i="28"/>
  <c r="T71" i="28"/>
  <c r="W71" i="28"/>
  <c r="Q71" i="28"/>
  <c r="T37" i="28"/>
  <c r="Q37" i="28"/>
  <c r="T26" i="28"/>
  <c r="Q26" i="28"/>
  <c r="T43" i="28"/>
  <c r="W43" i="28"/>
  <c r="Q43" i="28"/>
  <c r="W69" i="28"/>
  <c r="T69" i="28"/>
  <c r="Q69" i="28"/>
  <c r="T62" i="28"/>
  <c r="W62" i="28"/>
  <c r="Q62" i="28"/>
  <c r="W72" i="28"/>
  <c r="T72" i="28"/>
  <c r="Q72" i="28"/>
  <c r="T68" i="28"/>
  <c r="W68" i="28"/>
  <c r="Q68" i="28"/>
  <c r="T64" i="28"/>
  <c r="W64" i="28"/>
  <c r="Q64" i="28"/>
  <c r="T30" i="28"/>
  <c r="Q30" i="28"/>
  <c r="T39" i="28"/>
  <c r="Q39" i="28"/>
  <c r="T70" i="28"/>
  <c r="Q70" i="28"/>
  <c r="W70" i="28"/>
  <c r="Q36" i="28"/>
  <c r="T36" i="28"/>
  <c r="Q18" i="28"/>
  <c r="T18" i="28"/>
  <c r="Q42" i="28"/>
  <c r="T42" i="28"/>
  <c r="W42" i="28"/>
  <c r="T31" i="28"/>
  <c r="Q31" i="28"/>
  <c r="Q11" i="28"/>
  <c r="W13" i="28"/>
  <c r="W40" i="28"/>
  <c r="W23" i="28"/>
  <c r="Q10" i="28"/>
  <c r="W10" i="28"/>
  <c r="W24" i="28"/>
  <c r="W16" i="28"/>
  <c r="W36" i="28"/>
  <c r="W31" i="28"/>
  <c r="W37" i="28"/>
  <c r="W25" i="28"/>
  <c r="Q12" i="28"/>
  <c r="W12" i="28"/>
  <c r="W22" i="28"/>
  <c r="W27" i="28"/>
  <c r="W35" i="28"/>
  <c r="W34" i="28"/>
  <c r="W32" i="28"/>
  <c r="W30" i="28"/>
  <c r="W14" i="28"/>
  <c r="W39" i="28"/>
  <c r="W17" i="28"/>
  <c r="W18" i="28"/>
  <c r="W26" i="28"/>
  <c r="W33" i="28"/>
  <c r="W38" i="28"/>
  <c r="W11" i="28"/>
  <c r="F5" i="28" l="1"/>
  <c r="D3" i="28"/>
  <c r="F3" i="28"/>
  <c r="D5" i="28"/>
  <c r="E5" i="28"/>
  <c r="E3" i="28"/>
  <c r="D4" i="28"/>
  <c r="E4" i="28"/>
  <c r="F4" i="28"/>
  <c r="AD41" i="27"/>
  <c r="AC41" i="27"/>
  <c r="AB41" i="27"/>
  <c r="AA41" i="27"/>
  <c r="G4" i="28" l="1"/>
  <c r="G5" i="28"/>
  <c r="G3" i="28"/>
  <c r="C11" i="28"/>
  <c r="J11" i="28" s="1"/>
  <c r="H8" i="27"/>
  <c r="AC7" i="27"/>
  <c r="AD7" i="27"/>
  <c r="AC8" i="27"/>
  <c r="AD8" i="27"/>
  <c r="AC9" i="27"/>
  <c r="AD9" i="27"/>
  <c r="AC10" i="27"/>
  <c r="AD10" i="27"/>
  <c r="AC11" i="27"/>
  <c r="AD11" i="27"/>
  <c r="AC13" i="27" l="1"/>
  <c r="AD13" i="27"/>
  <c r="AC14" i="27"/>
  <c r="AD14" i="27"/>
  <c r="AC15" i="27"/>
  <c r="AD15" i="27"/>
  <c r="AC16" i="27"/>
  <c r="AD16" i="27"/>
  <c r="AC17" i="27"/>
  <c r="AD17" i="27"/>
  <c r="AC18" i="27"/>
  <c r="AD18" i="27"/>
  <c r="AC19" i="27"/>
  <c r="AD19" i="27"/>
  <c r="AC20" i="27"/>
  <c r="AD20" i="27"/>
  <c r="AC21" i="27"/>
  <c r="AD21" i="27"/>
  <c r="AC22" i="27"/>
  <c r="AD22" i="27"/>
  <c r="AC23" i="27"/>
  <c r="AD23" i="27"/>
  <c r="AC24" i="27"/>
  <c r="AD24" i="27"/>
  <c r="AC25" i="27"/>
  <c r="AD25" i="27"/>
  <c r="AC26" i="27"/>
  <c r="AD26" i="27"/>
  <c r="AC27" i="27"/>
  <c r="AD27" i="27"/>
  <c r="AC28" i="27"/>
  <c r="AD28" i="27"/>
  <c r="AC29" i="27"/>
  <c r="AD29" i="27"/>
  <c r="AC31" i="27"/>
  <c r="AD31" i="27"/>
  <c r="AC32" i="27"/>
  <c r="AD32" i="27"/>
  <c r="AC33" i="27"/>
  <c r="AD33" i="27"/>
  <c r="AC34" i="27"/>
  <c r="AD34" i="27"/>
  <c r="AC35" i="27"/>
  <c r="AD35" i="27"/>
  <c r="AC36" i="27"/>
  <c r="AD36" i="27"/>
  <c r="AC37" i="27"/>
  <c r="AD37" i="27"/>
  <c r="AC38" i="27"/>
  <c r="AD38" i="27"/>
  <c r="AC39" i="27"/>
  <c r="AD39" i="27"/>
  <c r="AC40" i="27"/>
  <c r="AD40" i="27"/>
  <c r="M7" i="27" l="1"/>
  <c r="M8" i="27"/>
  <c r="M9" i="27"/>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6" i="27"/>
  <c r="BB46" i="27" l="1"/>
  <c r="AZ46" i="27" s="1"/>
  <c r="BB44" i="27"/>
  <c r="AZ44" i="27" s="1"/>
  <c r="BB45" i="27"/>
  <c r="AZ45" i="27" s="1"/>
  <c r="AZ52" i="27"/>
  <c r="AZ51" i="27"/>
  <c r="AZ50" i="27"/>
  <c r="H66" i="27" l="1"/>
  <c r="D67" i="28" s="1"/>
  <c r="C67" i="28"/>
  <c r="J67" i="28" s="1"/>
  <c r="H73" i="27"/>
  <c r="D72" i="28" s="1"/>
  <c r="C72" i="28"/>
  <c r="J72" i="28" s="1"/>
  <c r="H70" i="27"/>
  <c r="D70" i="28" s="1"/>
  <c r="C70" i="28"/>
  <c r="J70" i="28" s="1"/>
  <c r="H67" i="27"/>
  <c r="D68" i="28" s="1"/>
  <c r="C68" i="28"/>
  <c r="J68" i="28" s="1"/>
  <c r="H65" i="27"/>
  <c r="D66" i="28" s="1"/>
  <c r="C66" i="28"/>
  <c r="J66" i="28" s="1"/>
  <c r="H64" i="27"/>
  <c r="D65" i="28" s="1"/>
  <c r="C65" i="28"/>
  <c r="J65" i="28" s="1"/>
  <c r="H69" i="27"/>
  <c r="D69" i="28" s="1"/>
  <c r="C69" i="28"/>
  <c r="J69" i="28" s="1"/>
  <c r="T18" i="3"/>
  <c r="T9" i="3"/>
  <c r="T13" i="3"/>
  <c r="T4" i="3"/>
  <c r="T14" i="3"/>
  <c r="T25" i="3"/>
  <c r="T26" i="3"/>
  <c r="T7" i="3"/>
  <c r="T16" i="3"/>
  <c r="T3" i="3"/>
  <c r="T17" i="3"/>
  <c r="T10" i="3"/>
  <c r="T5" i="3"/>
  <c r="T11" i="3"/>
  <c r="T12" i="3"/>
  <c r="T24" i="3"/>
  <c r="T20" i="3"/>
  <c r="T6" i="3"/>
  <c r="T15" i="3"/>
  <c r="T23" i="3"/>
  <c r="T22" i="3"/>
  <c r="T8" i="3"/>
  <c r="T19" i="3"/>
  <c r="T21" i="3"/>
  <c r="H24" i="27"/>
  <c r="H25" i="27"/>
  <c r="H26" i="27"/>
  <c r="H27" i="27"/>
  <c r="H28" i="27"/>
  <c r="H29" i="27"/>
  <c r="H30" i="27"/>
  <c r="H31" i="27"/>
  <c r="H32" i="27"/>
  <c r="H33" i="27"/>
  <c r="H34" i="27"/>
  <c r="H35" i="27"/>
  <c r="H36" i="27"/>
  <c r="H37" i="27"/>
  <c r="H38" i="27"/>
  <c r="H39" i="27"/>
  <c r="H40" i="27"/>
  <c r="H41" i="27"/>
  <c r="H18" i="27"/>
  <c r="H19" i="27"/>
  <c r="H20" i="27"/>
  <c r="H21" i="27"/>
  <c r="H22" i="27"/>
  <c r="H23" i="27"/>
  <c r="C20" i="28" l="1"/>
  <c r="J20" i="28" s="1"/>
  <c r="H17" i="27"/>
  <c r="D20" i="28" s="1"/>
  <c r="D25" i="28"/>
  <c r="C25" i="28"/>
  <c r="J25" i="28" s="1"/>
  <c r="D21" i="28"/>
  <c r="C21" i="28"/>
  <c r="J21" i="28" s="1"/>
  <c r="D42" i="28"/>
  <c r="C42" i="28"/>
  <c r="J42" i="28" s="1"/>
  <c r="D38" i="28"/>
  <c r="C38" i="28"/>
  <c r="J38" i="28" s="1"/>
  <c r="D34" i="28"/>
  <c r="C34" i="28"/>
  <c r="J34" i="28" s="1"/>
  <c r="D30" i="28"/>
  <c r="C30" i="28"/>
  <c r="J30" i="28" s="1"/>
  <c r="D24" i="28"/>
  <c r="C24" i="28"/>
  <c r="J24" i="28" s="1"/>
  <c r="D41" i="28"/>
  <c r="C41" i="28"/>
  <c r="J41" i="28" s="1"/>
  <c r="D37" i="28"/>
  <c r="C37" i="28"/>
  <c r="J37" i="28" s="1"/>
  <c r="D33" i="28"/>
  <c r="C33" i="28"/>
  <c r="J33" i="28" s="1"/>
  <c r="D29" i="28"/>
  <c r="C29" i="28"/>
  <c r="J29" i="28" s="1"/>
  <c r="D26" i="28"/>
  <c r="C26" i="28"/>
  <c r="J26" i="28" s="1"/>
  <c r="D23" i="28"/>
  <c r="C23" i="28"/>
  <c r="J23" i="28" s="1"/>
  <c r="D44" i="28"/>
  <c r="C44" i="28"/>
  <c r="J44" i="28" s="1"/>
  <c r="D40" i="28"/>
  <c r="C40" i="28"/>
  <c r="J40" i="28" s="1"/>
  <c r="D36" i="28"/>
  <c r="C36" i="28"/>
  <c r="J36" i="28" s="1"/>
  <c r="D32" i="28"/>
  <c r="C32" i="28"/>
  <c r="J32" i="28" s="1"/>
  <c r="D28" i="28"/>
  <c r="C28" i="28"/>
  <c r="J28" i="28" s="1"/>
  <c r="D22" i="28"/>
  <c r="C22" i="28"/>
  <c r="J22" i="28" s="1"/>
  <c r="D43" i="28"/>
  <c r="C43" i="28"/>
  <c r="J43" i="28" s="1"/>
  <c r="D39" i="28"/>
  <c r="C39" i="28"/>
  <c r="J39" i="28" s="1"/>
  <c r="D35" i="28"/>
  <c r="C35" i="28"/>
  <c r="J35" i="28" s="1"/>
  <c r="D31" i="28"/>
  <c r="C31" i="28"/>
  <c r="J31" i="28" s="1"/>
  <c r="D27" i="28"/>
  <c r="C27" i="28"/>
  <c r="J27" i="28" s="1"/>
  <c r="H12" i="27"/>
  <c r="H13" i="27"/>
  <c r="H14" i="27"/>
  <c r="H15" i="27"/>
  <c r="H16" i="27"/>
  <c r="D18" i="28" l="1"/>
  <c r="C18" i="28"/>
  <c r="J18" i="28" s="1"/>
  <c r="D17" i="28"/>
  <c r="C17" i="28"/>
  <c r="J17" i="28" s="1"/>
  <c r="D16" i="28"/>
  <c r="C16" i="28"/>
  <c r="J16" i="28" s="1"/>
  <c r="D19" i="28"/>
  <c r="C19" i="28"/>
  <c r="J19" i="28" s="1"/>
  <c r="D15" i="28"/>
  <c r="C15" i="28"/>
  <c r="J15" i="28" s="1"/>
  <c r="AB8" i="27"/>
  <c r="AB7" i="27"/>
  <c r="AB10" i="27"/>
  <c r="AB9" i="27"/>
  <c r="AA10" i="27"/>
  <c r="AA8" i="27"/>
  <c r="AB11" i="27"/>
  <c r="AA9" i="27"/>
  <c r="F9" i="28"/>
  <c r="AA11" i="27"/>
  <c r="BB33" i="27" l="1"/>
  <c r="BB27" i="27"/>
  <c r="BA28" i="27"/>
  <c r="BB39" i="27"/>
  <c r="BA34" i="27"/>
  <c r="BB28" i="27"/>
  <c r="BB40" i="27"/>
  <c r="BA33" i="27"/>
  <c r="BB25" i="27"/>
  <c r="BA32" i="27"/>
  <c r="BB38" i="27"/>
  <c r="BA38" i="27"/>
  <c r="BB31" i="27"/>
  <c r="BB26" i="27"/>
  <c r="BA39" i="27"/>
  <c r="BA31" i="27"/>
  <c r="BA40" i="27"/>
  <c r="BB37" i="27"/>
  <c r="BA37" i="27"/>
  <c r="BB32" i="27"/>
  <c r="BA25" i="27"/>
  <c r="BA26" i="27"/>
  <c r="BB34" i="27"/>
  <c r="BA27" i="27"/>
  <c r="BA22" i="27"/>
  <c r="BA14" i="27"/>
  <c r="BB16" i="27"/>
  <c r="BB13" i="27"/>
  <c r="BB14" i="27"/>
  <c r="BA15" i="27"/>
  <c r="BB15" i="27"/>
  <c r="BB22" i="27"/>
  <c r="BA21" i="27"/>
  <c r="BA20" i="27"/>
  <c r="BA16" i="27"/>
  <c r="AZ16" i="27" s="1"/>
  <c r="BA13" i="27"/>
  <c r="BB20" i="27"/>
  <c r="BB21" i="27"/>
  <c r="BB19" i="27"/>
  <c r="BA19" i="27"/>
  <c r="BB8" i="27"/>
  <c r="BB10" i="27"/>
  <c r="BB9" i="27"/>
  <c r="BB7" i="27"/>
  <c r="AA34" i="27"/>
  <c r="AB34" i="27"/>
  <c r="AA35" i="27"/>
  <c r="AB35" i="27"/>
  <c r="AA36" i="27"/>
  <c r="AB36" i="27"/>
  <c r="AA37" i="27"/>
  <c r="AB37" i="27"/>
  <c r="AA38" i="27"/>
  <c r="AB38" i="27"/>
  <c r="AA39" i="27"/>
  <c r="AB39" i="27"/>
  <c r="AA40" i="27"/>
  <c r="H61" i="27" l="1"/>
  <c r="D63" i="28" s="1"/>
  <c r="C63" i="28"/>
  <c r="J63" i="28" s="1"/>
  <c r="H60" i="27"/>
  <c r="D62" i="28" s="1"/>
  <c r="C62" i="28"/>
  <c r="J62" i="28" s="1"/>
  <c r="H59" i="27"/>
  <c r="D61" i="28" s="1"/>
  <c r="C61" i="28"/>
  <c r="J61" i="28" s="1"/>
  <c r="H58" i="27"/>
  <c r="D60" i="28" s="1"/>
  <c r="C60" i="28"/>
  <c r="J60" i="28" s="1"/>
  <c r="H56" i="27"/>
  <c r="D58" i="28" s="1"/>
  <c r="C58" i="28"/>
  <c r="J58" i="28" s="1"/>
  <c r="H55" i="27"/>
  <c r="D57" i="28" s="1"/>
  <c r="C57" i="28"/>
  <c r="J57" i="28" s="1"/>
  <c r="H62" i="27"/>
  <c r="D64" i="28" s="1"/>
  <c r="C64" i="28"/>
  <c r="J64" i="28" s="1"/>
  <c r="H57" i="27"/>
  <c r="D59" i="28" s="1"/>
  <c r="C59" i="28"/>
  <c r="J59" i="28" s="1"/>
  <c r="AZ25" i="27"/>
  <c r="AZ26" i="27"/>
  <c r="AZ13" i="27"/>
  <c r="AZ27" i="27"/>
  <c r="AZ40" i="27"/>
  <c r="AZ37" i="27"/>
  <c r="AZ39" i="27"/>
  <c r="AZ31" i="27"/>
  <c r="AZ33" i="27"/>
  <c r="AZ19" i="27"/>
  <c r="AZ38" i="27"/>
  <c r="AZ28" i="27"/>
  <c r="AZ32" i="27"/>
  <c r="AZ34" i="27"/>
  <c r="AZ20" i="27"/>
  <c r="AZ14" i="27"/>
  <c r="AZ21" i="27"/>
  <c r="AZ22" i="27"/>
  <c r="AZ15" i="27"/>
  <c r="AB40" i="27"/>
  <c r="AA26" i="27" l="1"/>
  <c r="AB26" i="27"/>
  <c r="AB27" i="27"/>
  <c r="AB28" i="27"/>
  <c r="AB29" i="27"/>
  <c r="AB31" i="27"/>
  <c r="AB32" i="27"/>
  <c r="AA27" i="27"/>
  <c r="AA28" i="27"/>
  <c r="AA29" i="27"/>
  <c r="AA31" i="27"/>
  <c r="AA32" i="27"/>
  <c r="AB33" i="27"/>
  <c r="AA33" i="27"/>
  <c r="AB25" i="27"/>
  <c r="AB24" i="27"/>
  <c r="AB23" i="27"/>
  <c r="AB22" i="27"/>
  <c r="AB21" i="27"/>
  <c r="AB20" i="27"/>
  <c r="AB19" i="27"/>
  <c r="AA19" i="27" l="1"/>
  <c r="AB18" i="27"/>
  <c r="AA20" i="27"/>
  <c r="AA21" i="27"/>
  <c r="AA22" i="27"/>
  <c r="AA23" i="27"/>
  <c r="AA24" i="27"/>
  <c r="AA25" i="27"/>
  <c r="AA17" i="27" l="1"/>
  <c r="AA18" i="27"/>
  <c r="AB17" i="27"/>
  <c r="AA15" i="27" l="1"/>
  <c r="AA13" i="27"/>
  <c r="AB13" i="27"/>
  <c r="AA16" i="27"/>
  <c r="AA14" i="27"/>
  <c r="AB16" i="27"/>
  <c r="AB14" i="27"/>
  <c r="AB15" i="27"/>
  <c r="H11" i="27"/>
  <c r="H10" i="27"/>
  <c r="H9" i="27"/>
  <c r="BA8" i="27"/>
  <c r="D11" i="28"/>
  <c r="BA9" i="27"/>
  <c r="H7" i="27"/>
  <c r="C9" i="28" l="1"/>
  <c r="H6" i="27"/>
  <c r="D9" i="28" s="1"/>
  <c r="D13" i="28"/>
  <c r="C13" i="28"/>
  <c r="J13" i="28" s="1"/>
  <c r="D14" i="28"/>
  <c r="C14" i="28"/>
  <c r="J14" i="28" s="1"/>
  <c r="D10" i="28"/>
  <c r="C10" i="28"/>
  <c r="J10" i="28" s="1"/>
  <c r="D12" i="28"/>
  <c r="C12" i="28"/>
  <c r="J12" i="28" s="1"/>
  <c r="BA7" i="27"/>
  <c r="BA10" i="27"/>
  <c r="AA7" i="27"/>
  <c r="AV33" i="27" l="1"/>
  <c r="AV34" i="27"/>
  <c r="AV32" i="27"/>
  <c r="AV31" i="27"/>
  <c r="J9" i="28"/>
  <c r="AV52" i="27"/>
  <c r="AW51" i="27"/>
  <c r="AV45" i="27"/>
  <c r="AV50" i="27"/>
  <c r="AW52" i="27"/>
  <c r="AW50" i="27"/>
  <c r="AV46" i="27"/>
  <c r="AV49" i="27"/>
  <c r="AW49" i="27"/>
  <c r="AV43" i="27"/>
  <c r="AV51" i="27"/>
  <c r="AV44" i="27"/>
  <c r="AW44" i="27"/>
  <c r="AW46" i="27"/>
  <c r="AW45" i="27"/>
  <c r="AW43" i="27"/>
  <c r="AV40" i="27"/>
  <c r="AV39" i="27"/>
  <c r="AV37" i="27"/>
  <c r="AV38" i="27"/>
  <c r="AW34" i="27"/>
  <c r="AV28" i="27"/>
  <c r="AV25" i="27"/>
  <c r="AW28" i="27"/>
  <c r="AW27" i="27"/>
  <c r="AW31" i="27"/>
  <c r="AW37" i="27"/>
  <c r="AW40" i="27"/>
  <c r="AW26" i="27"/>
  <c r="AW32" i="27"/>
  <c r="AW25" i="27"/>
  <c r="AW33" i="27"/>
  <c r="AW38" i="27"/>
  <c r="AV26" i="27"/>
  <c r="AW39" i="27"/>
  <c r="AV27" i="27"/>
  <c r="AW15" i="27"/>
  <c r="AV14" i="27"/>
  <c r="AV13" i="27"/>
  <c r="AV22" i="27"/>
  <c r="AV16" i="27"/>
  <c r="AW13" i="27"/>
  <c r="AV21" i="27"/>
  <c r="AW19" i="27"/>
  <c r="AW21" i="27"/>
  <c r="AW22" i="27"/>
  <c r="AW14" i="27"/>
  <c r="AW20" i="27"/>
  <c r="AV20" i="27"/>
  <c r="AW16" i="27"/>
  <c r="AV15" i="27"/>
  <c r="AV19" i="27"/>
  <c r="AZ10" i="27"/>
  <c r="AZ8" i="27"/>
  <c r="AV8" i="27"/>
  <c r="AV9" i="27"/>
  <c r="AW10" i="27"/>
  <c r="AV7" i="27"/>
  <c r="AW8" i="27"/>
  <c r="AW9" i="27"/>
  <c r="AV10" i="27"/>
  <c r="AW7" i="27"/>
  <c r="BE49" i="27" l="1"/>
  <c r="BE50" i="27"/>
  <c r="BF50" i="27" s="1"/>
  <c r="AX50" i="27" s="1"/>
  <c r="BE51" i="27"/>
  <c r="BF51" i="27" s="1"/>
  <c r="AX51" i="27" s="1"/>
  <c r="BE52" i="27"/>
  <c r="BF52" i="27" s="1"/>
  <c r="AX52" i="27" s="1"/>
  <c r="BE43" i="27"/>
  <c r="BE45" i="27"/>
  <c r="BF45" i="27" s="1"/>
  <c r="AX45" i="27" s="1"/>
  <c r="BE46" i="27"/>
  <c r="BF46" i="27" s="1"/>
  <c r="AX46" i="27" s="1"/>
  <c r="BE44" i="27"/>
  <c r="BF44" i="27" s="1"/>
  <c r="AX44" i="27" s="1"/>
  <c r="BF53" i="27"/>
  <c r="BG53" i="27"/>
  <c r="BF47" i="27"/>
  <c r="AH42" i="27" s="1"/>
  <c r="BG47" i="27"/>
  <c r="BG41" i="27"/>
  <c r="BF41" i="27"/>
  <c r="BF11" i="27"/>
  <c r="AI6" i="27" s="1"/>
  <c r="BE38" i="27"/>
  <c r="BF38" i="27" s="1"/>
  <c r="BE20" i="27"/>
  <c r="BF20" i="27" s="1"/>
  <c r="BE33" i="27"/>
  <c r="BF33" i="27" s="1"/>
  <c r="AE30" i="27" s="1"/>
  <c r="BE26" i="27"/>
  <c r="BE19" i="27"/>
  <c r="BE27" i="27"/>
  <c r="BF27" i="27" s="1"/>
  <c r="BE39" i="27"/>
  <c r="BF39" i="27" s="1"/>
  <c r="BE40" i="27"/>
  <c r="BF40" i="27" s="1"/>
  <c r="BE37" i="27"/>
  <c r="BE28" i="27"/>
  <c r="BF28" i="27" s="1"/>
  <c r="BE22" i="27"/>
  <c r="BF22" i="27" s="1"/>
  <c r="BE25" i="27"/>
  <c r="BE21" i="27"/>
  <c r="BF21" i="27" s="1"/>
  <c r="AX21" i="27" s="1"/>
  <c r="BE32" i="27"/>
  <c r="BF32" i="27" s="1"/>
  <c r="BE31" i="27"/>
  <c r="BE34" i="27"/>
  <c r="BF34" i="27" s="1"/>
  <c r="AF30" i="27" s="1"/>
  <c r="BG11" i="27"/>
  <c r="AK6" i="27" s="1"/>
  <c r="BG29" i="27"/>
  <c r="BF29" i="27"/>
  <c r="BF35" i="27"/>
  <c r="BG35" i="27"/>
  <c r="BE16" i="27"/>
  <c r="BF16" i="27" s="1"/>
  <c r="BG23" i="27"/>
  <c r="AK19" i="27" s="1"/>
  <c r="BF23" i="27"/>
  <c r="AI23" i="27" s="1"/>
  <c r="BG17" i="27"/>
  <c r="AL13" i="27" s="1"/>
  <c r="BF17" i="27"/>
  <c r="AH17" i="27" s="1"/>
  <c r="BE13" i="27"/>
  <c r="BE14" i="27"/>
  <c r="BF14" i="27" s="1"/>
  <c r="BE15" i="27"/>
  <c r="BF15" i="27" s="1"/>
  <c r="AE12" i="27" s="1"/>
  <c r="BE9" i="27"/>
  <c r="BF9" i="27" s="1"/>
  <c r="BE8" i="27"/>
  <c r="BF8" i="27" s="1"/>
  <c r="BE7" i="27"/>
  <c r="BE10" i="27"/>
  <c r="BF10" i="27" s="1"/>
  <c r="AX10" i="27" s="1"/>
  <c r="AF12" i="27" l="1"/>
  <c r="AG12" i="27" s="1"/>
  <c r="AL6" i="27"/>
  <c r="AM6" i="27" s="1"/>
  <c r="AH6" i="27"/>
  <c r="AJ6" i="27" s="1"/>
  <c r="AX8" i="27"/>
  <c r="AF6" i="27"/>
  <c r="AH12" i="27"/>
  <c r="AK12" i="27"/>
  <c r="AL12" i="27"/>
  <c r="AI12" i="27"/>
  <c r="AH5" i="27"/>
  <c r="AJ5" i="27" s="1"/>
  <c r="AI5" i="27"/>
  <c r="AK7" i="27"/>
  <c r="AK5" i="27"/>
  <c r="AM5" i="27" s="1"/>
  <c r="AL5" i="27"/>
  <c r="AI30" i="27"/>
  <c r="AH30" i="27"/>
  <c r="AG30" i="27"/>
  <c r="AL30" i="27"/>
  <c r="AK30" i="27"/>
  <c r="AX33" i="27"/>
  <c r="BF26" i="27"/>
  <c r="AH45" i="27"/>
  <c r="AH43" i="27"/>
  <c r="AH47" i="27"/>
  <c r="AH44" i="27"/>
  <c r="AL52" i="27"/>
  <c r="AL50" i="27"/>
  <c r="AL49" i="27"/>
  <c r="AL51" i="27"/>
  <c r="AK48" i="27"/>
  <c r="AK53" i="27"/>
  <c r="AK52" i="27"/>
  <c r="AL53" i="27"/>
  <c r="AK51" i="27"/>
  <c r="AL48" i="27"/>
  <c r="AK50" i="27"/>
  <c r="AK49" i="27"/>
  <c r="AH46" i="27"/>
  <c r="AK45" i="27"/>
  <c r="AL44" i="27"/>
  <c r="AL45" i="27"/>
  <c r="AL46" i="27"/>
  <c r="AL47" i="27"/>
  <c r="AK44" i="27"/>
  <c r="AK47" i="27"/>
  <c r="AK46" i="27"/>
  <c r="AK42" i="27"/>
  <c r="AL43" i="27"/>
  <c r="AL42" i="27"/>
  <c r="AK43" i="27"/>
  <c r="BE47" i="27"/>
  <c r="BF43" i="27"/>
  <c r="AF47" i="27" s="1"/>
  <c r="BE53" i="27"/>
  <c r="BF49" i="27"/>
  <c r="AF50" i="27" s="1"/>
  <c r="AI41" i="27"/>
  <c r="AE45" i="27"/>
  <c r="AF43" i="27"/>
  <c r="AE46" i="27"/>
  <c r="AE53" i="27"/>
  <c r="AI46" i="27"/>
  <c r="AI44" i="27"/>
  <c r="AI45" i="27"/>
  <c r="AI47" i="27"/>
  <c r="AI42" i="27"/>
  <c r="AI43" i="27"/>
  <c r="AI51" i="27"/>
  <c r="AH51" i="27"/>
  <c r="AI53" i="27"/>
  <c r="AH53" i="27"/>
  <c r="AI50" i="27"/>
  <c r="AH52" i="27"/>
  <c r="AI52" i="27"/>
  <c r="AH50" i="27"/>
  <c r="AH49" i="27"/>
  <c r="AI49" i="27"/>
  <c r="AH48" i="27"/>
  <c r="AI48" i="27"/>
  <c r="AF45" i="27"/>
  <c r="AF42" i="27"/>
  <c r="AE47" i="27"/>
  <c r="AF44" i="27"/>
  <c r="AE43" i="27"/>
  <c r="AH15" i="27"/>
  <c r="AH41" i="27"/>
  <c r="BE41" i="27"/>
  <c r="AL41" i="27"/>
  <c r="AL37" i="27"/>
  <c r="AL40" i="27"/>
  <c r="AL36" i="27"/>
  <c r="AL39" i="27"/>
  <c r="AL38" i="27"/>
  <c r="AK41" i="27"/>
  <c r="AX32" i="27"/>
  <c r="AF9" i="27"/>
  <c r="AE7" i="27"/>
  <c r="AE17" i="27"/>
  <c r="AX22" i="27"/>
  <c r="AX40" i="27"/>
  <c r="AX27" i="27"/>
  <c r="AX9" i="27"/>
  <c r="AX38" i="27"/>
  <c r="AX16" i="27"/>
  <c r="AF8" i="27"/>
  <c r="AF7" i="27"/>
  <c r="AE10" i="27"/>
  <c r="AX39" i="27"/>
  <c r="AX26" i="27"/>
  <c r="AX34" i="27"/>
  <c r="AE11" i="27"/>
  <c r="AX28" i="27"/>
  <c r="AX14" i="27"/>
  <c r="AX20" i="27"/>
  <c r="AX15" i="27"/>
  <c r="AI9" i="27"/>
  <c r="AK22" i="27"/>
  <c r="BF7" i="27"/>
  <c r="AF11" i="27" s="1"/>
  <c r="BE11" i="27"/>
  <c r="AL21" i="27"/>
  <c r="AL22" i="27"/>
  <c r="AK13" i="27"/>
  <c r="AM13" i="27" s="1"/>
  <c r="AH22" i="27"/>
  <c r="AH13" i="27"/>
  <c r="AH20" i="27"/>
  <c r="AH18" i="27"/>
  <c r="AI19" i="27"/>
  <c r="AI21" i="27"/>
  <c r="AL16" i="27"/>
  <c r="AI15" i="27"/>
  <c r="AI17" i="27"/>
  <c r="AJ17" i="27" s="1"/>
  <c r="AK15" i="27"/>
  <c r="AL17" i="27"/>
  <c r="AK20" i="27"/>
  <c r="AL19" i="27"/>
  <c r="AM19" i="27" s="1"/>
  <c r="AK18" i="27"/>
  <c r="AI16" i="27"/>
  <c r="AL18" i="27"/>
  <c r="AK34" i="27"/>
  <c r="AL35" i="27"/>
  <c r="AL34" i="27"/>
  <c r="AK35" i="27"/>
  <c r="AK32" i="27"/>
  <c r="AL32" i="27"/>
  <c r="AK31" i="27"/>
  <c r="AL33" i="27"/>
  <c r="AL31" i="27"/>
  <c r="AK33" i="27"/>
  <c r="BF25" i="27"/>
  <c r="AE26" i="27" s="1"/>
  <c r="BE29" i="27"/>
  <c r="AI36" i="27"/>
  <c r="AH38" i="27"/>
  <c r="AI37" i="27"/>
  <c r="AH37" i="27"/>
  <c r="AI38" i="27"/>
  <c r="AH40" i="27"/>
  <c r="AH36" i="27"/>
  <c r="AI39" i="27"/>
  <c r="AH39" i="27"/>
  <c r="AI40" i="27"/>
  <c r="AH34" i="27"/>
  <c r="AH35" i="27"/>
  <c r="AI34" i="27"/>
  <c r="AI35" i="27"/>
  <c r="AH32" i="27"/>
  <c r="AI32" i="27"/>
  <c r="AH31" i="27"/>
  <c r="AI33" i="27"/>
  <c r="AI31" i="27"/>
  <c r="AH33" i="27"/>
  <c r="AI28" i="27"/>
  <c r="AH28" i="27"/>
  <c r="AI25" i="27"/>
  <c r="AH26" i="27"/>
  <c r="AH29" i="27"/>
  <c r="AI27" i="27"/>
  <c r="AI29" i="27"/>
  <c r="AI26" i="27"/>
  <c r="AH27" i="27"/>
  <c r="AI24" i="27"/>
  <c r="AH25" i="27"/>
  <c r="AJ25" i="27" s="1"/>
  <c r="AH24" i="27"/>
  <c r="AK38" i="27"/>
  <c r="AK37" i="27"/>
  <c r="AK36" i="27"/>
  <c r="AK39" i="27"/>
  <c r="AK40" i="27"/>
  <c r="BF31" i="27"/>
  <c r="BE35" i="27"/>
  <c r="AK29" i="27"/>
  <c r="AL27" i="27"/>
  <c r="AL29" i="27"/>
  <c r="AL28" i="27"/>
  <c r="AL24" i="27"/>
  <c r="AK28" i="27"/>
  <c r="AL26" i="27"/>
  <c r="AL25" i="27"/>
  <c r="AK27" i="27"/>
  <c r="AK26" i="27"/>
  <c r="AK25" i="27"/>
  <c r="AK24" i="27"/>
  <c r="BF37" i="27"/>
  <c r="AF41" i="27" s="1"/>
  <c r="AH10" i="27"/>
  <c r="AI8" i="27"/>
  <c r="AL14" i="27"/>
  <c r="AL10" i="27"/>
  <c r="AL9" i="27"/>
  <c r="BF19" i="27"/>
  <c r="AE20" i="27" s="1"/>
  <c r="BE23" i="27"/>
  <c r="AI18" i="27"/>
  <c r="AI20" i="27"/>
  <c r="AH8" i="27"/>
  <c r="AH21" i="27"/>
  <c r="AK14" i="27"/>
  <c r="AL15" i="27"/>
  <c r="BE17" i="27"/>
  <c r="BF13" i="27"/>
  <c r="AE15" i="27" s="1"/>
  <c r="AI7" i="27"/>
  <c r="AL8" i="27"/>
  <c r="AH9" i="27"/>
  <c r="AI11" i="27"/>
  <c r="AK8" i="27"/>
  <c r="AH19" i="27"/>
  <c r="AH14" i="27"/>
  <c r="AK10" i="27"/>
  <c r="AI14" i="27"/>
  <c r="AK16" i="27"/>
  <c r="AI10" i="27"/>
  <c r="AL11" i="27"/>
  <c r="AI22" i="27"/>
  <c r="AH23" i="27"/>
  <c r="AJ23" i="27" s="1"/>
  <c r="AH11" i="27"/>
  <c r="AK21" i="27"/>
  <c r="AL23" i="27"/>
  <c r="AI13" i="27"/>
  <c r="AK17" i="27"/>
  <c r="AH7" i="27"/>
  <c r="AL7" i="27"/>
  <c r="AH16" i="27"/>
  <c r="AK9" i="27"/>
  <c r="AK23" i="27"/>
  <c r="AL20" i="27"/>
  <c r="AK11" i="27"/>
  <c r="AZ9" i="27"/>
  <c r="AZ7" i="27"/>
  <c r="AM12" i="27" l="1"/>
  <c r="AM21" i="27"/>
  <c r="AE8" i="27"/>
  <c r="AG8" i="27" s="1"/>
  <c r="AE6" i="27"/>
  <c r="AG6" i="27" s="1"/>
  <c r="AO6" i="27" s="1"/>
  <c r="AJ12" i="27"/>
  <c r="AQ12" i="27"/>
  <c r="AN12" i="27"/>
  <c r="AP12" i="27" s="1"/>
  <c r="AO12" i="27"/>
  <c r="AR12" i="27"/>
  <c r="AR5" i="27"/>
  <c r="AO5" i="27"/>
  <c r="AN5" i="27"/>
  <c r="AP5" i="27" s="1"/>
  <c r="AQ5" i="27"/>
  <c r="AM7" i="27"/>
  <c r="AJ8" i="27"/>
  <c r="AM23" i="27"/>
  <c r="AM30" i="27"/>
  <c r="AJ30" i="27"/>
  <c r="AR30" i="27"/>
  <c r="AQ30" i="27"/>
  <c r="AO30" i="27"/>
  <c r="AN30" i="27"/>
  <c r="AP30" i="27" s="1"/>
  <c r="AM24" i="27"/>
  <c r="AJ24" i="27"/>
  <c r="AM18" i="27"/>
  <c r="AJ18" i="27"/>
  <c r="AM44" i="27"/>
  <c r="AE19" i="27"/>
  <c r="AF38" i="27"/>
  <c r="AE23" i="27"/>
  <c r="AF37" i="27"/>
  <c r="AE40" i="27"/>
  <c r="AF20" i="27"/>
  <c r="AG20" i="27" s="1"/>
  <c r="AE34" i="27"/>
  <c r="AF26" i="27"/>
  <c r="AG26" i="27" s="1"/>
  <c r="AE49" i="27"/>
  <c r="AE50" i="27"/>
  <c r="AG50" i="27" s="1"/>
  <c r="AE33" i="27"/>
  <c r="AF24" i="27"/>
  <c r="AE29" i="27"/>
  <c r="AE39" i="27"/>
  <c r="AF14" i="27"/>
  <c r="AE41" i="27"/>
  <c r="AF53" i="27"/>
  <c r="AG53" i="27" s="1"/>
  <c r="AE52" i="27"/>
  <c r="AF25" i="27"/>
  <c r="AE25" i="27"/>
  <c r="AE37" i="27"/>
  <c r="AE35" i="27"/>
  <c r="AF48" i="27"/>
  <c r="AF51" i="27"/>
  <c r="AF49" i="27"/>
  <c r="AF18" i="27"/>
  <c r="AE28" i="27"/>
  <c r="AE27" i="27"/>
  <c r="AF31" i="27"/>
  <c r="AF36" i="27"/>
  <c r="AF13" i="27"/>
  <c r="AE31" i="27"/>
  <c r="AE32" i="27"/>
  <c r="AM46" i="27"/>
  <c r="AE22" i="27"/>
  <c r="AF19" i="27"/>
  <c r="AE21" i="27"/>
  <c r="AJ41" i="27"/>
  <c r="AM42" i="27"/>
  <c r="AG41" i="27"/>
  <c r="AJ52" i="27"/>
  <c r="AJ47" i="27"/>
  <c r="AM52" i="27"/>
  <c r="AG43" i="27"/>
  <c r="AG47" i="27"/>
  <c r="AM50" i="27"/>
  <c r="AJ50" i="27"/>
  <c r="AJ53" i="27"/>
  <c r="AJ49" i="27"/>
  <c r="AM45" i="27"/>
  <c r="AM48" i="27"/>
  <c r="AM53" i="27"/>
  <c r="AJ48" i="27"/>
  <c r="AX49" i="27"/>
  <c r="AE51" i="27"/>
  <c r="AE48" i="27"/>
  <c r="AF52" i="27"/>
  <c r="AM43" i="27"/>
  <c r="AM49" i="27"/>
  <c r="AM51" i="27"/>
  <c r="AJ51" i="27"/>
  <c r="AJ43" i="27"/>
  <c r="AJ46" i="27"/>
  <c r="AM47" i="27"/>
  <c r="AJ42" i="27"/>
  <c r="AJ44" i="27"/>
  <c r="AX43" i="27"/>
  <c r="AF46" i="27"/>
  <c r="AG46" i="27" s="1"/>
  <c r="AE42" i="27"/>
  <c r="AG42" i="27" s="1"/>
  <c r="AE44" i="27"/>
  <c r="AG44" i="27" s="1"/>
  <c r="AR44" i="27" s="1"/>
  <c r="AG45" i="27"/>
  <c r="AJ45" i="27"/>
  <c r="AF16" i="27"/>
  <c r="AE13" i="27"/>
  <c r="AE14" i="27"/>
  <c r="AG14" i="27" s="1"/>
  <c r="AF35" i="27"/>
  <c r="AF23" i="27"/>
  <c r="AE16" i="27"/>
  <c r="AF32" i="27"/>
  <c r="AF28" i="27"/>
  <c r="AE38" i="27"/>
  <c r="AF40" i="27"/>
  <c r="AJ21" i="27"/>
  <c r="AJ15" i="27"/>
  <c r="AM41" i="27"/>
  <c r="AM20" i="27"/>
  <c r="AM22" i="27"/>
  <c r="AG11" i="27"/>
  <c r="AF22" i="27"/>
  <c r="AF21" i="27"/>
  <c r="AE18" i="27"/>
  <c r="AX19" i="27"/>
  <c r="AF34" i="27"/>
  <c r="AF33" i="27"/>
  <c r="AX31" i="27"/>
  <c r="AF29" i="27"/>
  <c r="AF27" i="27"/>
  <c r="AE24" i="27"/>
  <c r="AX25" i="27"/>
  <c r="AF10" i="27"/>
  <c r="AG10" i="27" s="1"/>
  <c r="AE9" i="27"/>
  <c r="AG9" i="27" s="1"/>
  <c r="AX7" i="27"/>
  <c r="AG7" i="27"/>
  <c r="AF17" i="27"/>
  <c r="AG17" i="27" s="1"/>
  <c r="AF15" i="27"/>
  <c r="AG15" i="27" s="1"/>
  <c r="AX13" i="27"/>
  <c r="AF39" i="27"/>
  <c r="AE36" i="27"/>
  <c r="AX37" i="27"/>
  <c r="AM35" i="27"/>
  <c r="AJ9" i="27"/>
  <c r="AJ11" i="27"/>
  <c r="AM8" i="27"/>
  <c r="AJ16" i="27"/>
  <c r="AJ13" i="27"/>
  <c r="AM40" i="27"/>
  <c r="AM15" i="27"/>
  <c r="AM17" i="27"/>
  <c r="AM16" i="27"/>
  <c r="AJ20" i="27"/>
  <c r="AM38" i="27"/>
  <c r="AM39" i="27"/>
  <c r="AJ22" i="27"/>
  <c r="AJ19" i="27"/>
  <c r="AM37" i="27"/>
  <c r="AM26" i="27"/>
  <c r="AM36" i="27"/>
  <c r="AJ36" i="27"/>
  <c r="AM28" i="27"/>
  <c r="AJ28" i="27"/>
  <c r="AJ32" i="27"/>
  <c r="AJ39" i="27"/>
  <c r="AM25" i="27"/>
  <c r="AJ35" i="27"/>
  <c r="AM27" i="27"/>
  <c r="AM33" i="27"/>
  <c r="AM29" i="27"/>
  <c r="AJ27" i="27"/>
  <c r="AJ29" i="27"/>
  <c r="AJ31" i="27"/>
  <c r="AJ34" i="27"/>
  <c r="AJ37" i="27"/>
  <c r="AJ40" i="27"/>
  <c r="AJ38" i="27"/>
  <c r="AM31" i="27"/>
  <c r="AM34" i="27"/>
  <c r="AJ26" i="27"/>
  <c r="AJ33" i="27"/>
  <c r="AM32" i="27"/>
  <c r="AM14" i="27"/>
  <c r="AM10" i="27"/>
  <c r="AJ14" i="27"/>
  <c r="AM11" i="27"/>
  <c r="AM9" i="27"/>
  <c r="AJ7" i="27"/>
  <c r="AJ10" i="27"/>
  <c r="AN6" i="27" l="1"/>
  <c r="AP6" i="27" s="1"/>
  <c r="AQ6" i="27"/>
  <c r="AR6" i="27"/>
  <c r="AG38" i="27"/>
  <c r="AN38" i="27" s="1"/>
  <c r="AQ50" i="27"/>
  <c r="AR50" i="27"/>
  <c r="AQ53" i="27"/>
  <c r="AR53" i="27"/>
  <c r="AQ45" i="27"/>
  <c r="AR45" i="27"/>
  <c r="AQ47" i="27"/>
  <c r="AR47" i="27"/>
  <c r="AQ46" i="27"/>
  <c r="AR46" i="27"/>
  <c r="AQ43" i="27"/>
  <c r="AR43" i="27"/>
  <c r="AQ42" i="27"/>
  <c r="AR42" i="27"/>
  <c r="AO44" i="27"/>
  <c r="AQ44" i="27"/>
  <c r="AG29" i="27"/>
  <c r="AQ29" i="27" s="1"/>
  <c r="AN50" i="27"/>
  <c r="AP50" i="27" s="1"/>
  <c r="AO47" i="27"/>
  <c r="AO43" i="27"/>
  <c r="AO41" i="27"/>
  <c r="AG34" i="27"/>
  <c r="AO34" i="27" s="1"/>
  <c r="AG23" i="27"/>
  <c r="AQ23" i="27" s="1"/>
  <c r="AG36" i="27"/>
  <c r="AO36" i="27" s="1"/>
  <c r="AG18" i="27"/>
  <c r="AO18" i="27" s="1"/>
  <c r="AG32" i="27"/>
  <c r="AQ32" i="27" s="1"/>
  <c r="AG39" i="27"/>
  <c r="AO39" i="27" s="1"/>
  <c r="AG22" i="27"/>
  <c r="AN22" i="27" s="1"/>
  <c r="AP22" i="27" s="1"/>
  <c r="AG35" i="27"/>
  <c r="AO35" i="27" s="1"/>
  <c r="AG52" i="27"/>
  <c r="AG40" i="27"/>
  <c r="AR40" i="27" s="1"/>
  <c r="AG19" i="27"/>
  <c r="AO19" i="27" s="1"/>
  <c r="AG31" i="27"/>
  <c r="AQ31" i="27" s="1"/>
  <c r="AG33" i="27"/>
  <c r="AQ33" i="27" s="1"/>
  <c r="AG27" i="27"/>
  <c r="AO27" i="27" s="1"/>
  <c r="AG37" i="27"/>
  <c r="AN37" i="27" s="1"/>
  <c r="AG51" i="27"/>
  <c r="AG24" i="27"/>
  <c r="AG25" i="27"/>
  <c r="AO25" i="27" s="1"/>
  <c r="AG49" i="27"/>
  <c r="AO53" i="27"/>
  <c r="AN53" i="27"/>
  <c r="AP53" i="27" s="1"/>
  <c r="AG48" i="27"/>
  <c r="AG28" i="27"/>
  <c r="AR28" i="27" s="1"/>
  <c r="AG13" i="27"/>
  <c r="AN13" i="27" s="1"/>
  <c r="AP13" i="27" s="1"/>
  <c r="AN47" i="27"/>
  <c r="AP47" i="27" s="1"/>
  <c r="AG21" i="27"/>
  <c r="AO21" i="27" s="1"/>
  <c r="AR41" i="27"/>
  <c r="AO42" i="27"/>
  <c r="AN42" i="27"/>
  <c r="AO50" i="27"/>
  <c r="AN43" i="27"/>
  <c r="AN46" i="27"/>
  <c r="AP46" i="27" s="1"/>
  <c r="AO46" i="27"/>
  <c r="AN45" i="27"/>
  <c r="AP45" i="27" s="1"/>
  <c r="AO45" i="27"/>
  <c r="AN44" i="27"/>
  <c r="AP44" i="27" s="1"/>
  <c r="AG16" i="27"/>
  <c r="AO16" i="27" s="1"/>
  <c r="AQ41" i="27"/>
  <c r="AN41" i="27"/>
  <c r="AP41" i="27" s="1"/>
  <c r="AR11" i="27"/>
  <c r="AQ14" i="27"/>
  <c r="AO17" i="27"/>
  <c r="AR14" i="27"/>
  <c r="AN14" i="27"/>
  <c r="AP14" i="27" s="1"/>
  <c r="AO15" i="27"/>
  <c r="AO14" i="27"/>
  <c r="AO20" i="27"/>
  <c r="AO7" i="27"/>
  <c r="AQ10" i="27"/>
  <c r="AO11" i="27"/>
  <c r="AR8" i="27"/>
  <c r="AR9" i="27"/>
  <c r="AQ11" i="27"/>
  <c r="AN11" i="27"/>
  <c r="AP11" i="27" s="1"/>
  <c r="AR7" i="27"/>
  <c r="AQ7" i="27"/>
  <c r="AQ8" i="27"/>
  <c r="AN10" i="27"/>
  <c r="AP10" i="27" s="1"/>
  <c r="AN7" i="27"/>
  <c r="AO9" i="27"/>
  <c r="AN9" i="27"/>
  <c r="AP9" i="27" s="1"/>
  <c r="AN15" i="27"/>
  <c r="AP15" i="27" s="1"/>
  <c r="AQ17" i="27"/>
  <c r="AO10" i="27"/>
  <c r="AR10" i="27"/>
  <c r="AQ9" i="27"/>
  <c r="AO8" i="27"/>
  <c r="AQ15" i="27"/>
  <c r="AN8" i="27"/>
  <c r="AN17" i="27"/>
  <c r="AR17" i="27"/>
  <c r="AR15" i="27"/>
  <c r="AO32" i="27"/>
  <c r="AO26" i="27"/>
  <c r="AN26" i="27"/>
  <c r="AP26" i="27" s="1"/>
  <c r="AR26" i="27"/>
  <c r="AQ26" i="27"/>
  <c r="AR20" i="27"/>
  <c r="AQ20" i="27"/>
  <c r="AN20" i="27"/>
  <c r="AP20" i="27" s="1"/>
  <c r="AO38" i="27" l="1"/>
  <c r="AR38" i="27"/>
  <c r="AQ38" i="27"/>
  <c r="AN29" i="27"/>
  <c r="AP29" i="27" s="1"/>
  <c r="AO29" i="27"/>
  <c r="AN18" i="27"/>
  <c r="AR29" i="27"/>
  <c r="AR23" i="27"/>
  <c r="AQ52" i="27"/>
  <c r="AR52" i="27"/>
  <c r="AQ49" i="27"/>
  <c r="AR49" i="27"/>
  <c r="AQ51" i="27"/>
  <c r="AR51" i="27"/>
  <c r="AQ48" i="27"/>
  <c r="AR48" i="27"/>
  <c r="AN32" i="27"/>
  <c r="AP32" i="27" s="1"/>
  <c r="AQ34" i="27"/>
  <c r="AQ39" i="27"/>
  <c r="AN39" i="27"/>
  <c r="AP39" i="27" s="1"/>
  <c r="AR39" i="27"/>
  <c r="AN23" i="27"/>
  <c r="AP23" i="27" s="1"/>
  <c r="AO23" i="27"/>
  <c r="AN19" i="27"/>
  <c r="AP19" i="27" s="1"/>
  <c r="AR36" i="27"/>
  <c r="AR32" i="27"/>
  <c r="AN34" i="27"/>
  <c r="AP34" i="27" s="1"/>
  <c r="AR34" i="27"/>
  <c r="AQ36" i="27"/>
  <c r="AO22" i="27"/>
  <c r="AR18" i="27"/>
  <c r="AQ22" i="27"/>
  <c r="AQ18" i="27"/>
  <c r="AQ19" i="27"/>
  <c r="AN36" i="27"/>
  <c r="AR22" i="27"/>
  <c r="AR19" i="27"/>
  <c r="AQ35" i="27"/>
  <c r="AR33" i="27"/>
  <c r="AR35" i="27"/>
  <c r="AO13" i="27"/>
  <c r="AN35" i="27"/>
  <c r="AP35" i="27" s="1"/>
  <c r="AO33" i="27"/>
  <c r="AN33" i="27"/>
  <c r="AP33" i="27" s="1"/>
  <c r="AN40" i="27"/>
  <c r="AP40" i="27" s="1"/>
  <c r="AN52" i="27"/>
  <c r="AP52" i="27" s="1"/>
  <c r="AQ27" i="27"/>
  <c r="AO52" i="27"/>
  <c r="AO49" i="27"/>
  <c r="AQ13" i="27"/>
  <c r="AR27" i="27"/>
  <c r="AR31" i="27"/>
  <c r="AQ40" i="27"/>
  <c r="AO40" i="27"/>
  <c r="AN27" i="27"/>
  <c r="AP27" i="27" s="1"/>
  <c r="AR37" i="27"/>
  <c r="AN31" i="27"/>
  <c r="AP31" i="27" s="1"/>
  <c r="AO31" i="27"/>
  <c r="AO37" i="27"/>
  <c r="AQ37" i="27"/>
  <c r="AO48" i="27"/>
  <c r="AN51" i="27"/>
  <c r="AP51" i="27" s="1"/>
  <c r="AQ25" i="27"/>
  <c r="AQ28" i="27"/>
  <c r="AN28" i="27"/>
  <c r="AP28" i="27" s="1"/>
  <c r="AO51" i="27"/>
  <c r="AN49" i="27"/>
  <c r="AN48" i="27"/>
  <c r="AO28" i="27"/>
  <c r="AR13" i="27"/>
  <c r="AR25" i="27"/>
  <c r="AN25" i="27"/>
  <c r="AP25" i="27" s="1"/>
  <c r="AN21" i="27"/>
  <c r="AP21" i="27" s="1"/>
  <c r="AQ21" i="27"/>
  <c r="AR21" i="27"/>
  <c r="AP43" i="27"/>
  <c r="AP42" i="27"/>
  <c r="AQ16" i="27"/>
  <c r="AR16" i="27"/>
  <c r="AN16" i="27"/>
  <c r="AP16" i="27" s="1"/>
  <c r="AP17" i="27"/>
  <c r="AP7" i="27"/>
  <c r="AP8" i="27"/>
  <c r="AP18" i="27"/>
  <c r="AP37" i="27"/>
  <c r="AP38" i="27"/>
  <c r="BG7" i="27"/>
  <c r="BG50" i="27" l="1"/>
  <c r="BG52" i="27"/>
  <c r="BG49" i="27"/>
  <c r="BG51" i="27"/>
  <c r="AP49" i="27"/>
  <c r="AP48" i="27"/>
  <c r="AP36" i="27"/>
  <c r="AO24" i="27" l="1"/>
  <c r="BJ26" i="27" s="1"/>
  <c r="AR24" i="27"/>
  <c r="AN24" i="27"/>
  <c r="AQ24" i="27"/>
  <c r="BJ7" i="27" l="1"/>
  <c r="BI7" i="27"/>
  <c r="BI50" i="27"/>
  <c r="BI37" i="27"/>
  <c r="BI49" i="27"/>
  <c r="BI51" i="27"/>
  <c r="BI52" i="27"/>
  <c r="BJ32" i="27"/>
  <c r="BG33" i="27"/>
  <c r="BG22" i="27"/>
  <c r="BG14" i="27"/>
  <c r="BG19" i="27"/>
  <c r="BG15" i="27"/>
  <c r="BG39" i="27"/>
  <c r="BG13" i="27"/>
  <c r="BG38" i="27"/>
  <c r="BG43" i="27"/>
  <c r="BG34" i="27"/>
  <c r="BG45" i="27"/>
  <c r="BG44" i="27"/>
  <c r="BG40" i="27"/>
  <c r="BG37" i="27"/>
  <c r="BG20" i="27"/>
  <c r="BG9" i="27"/>
  <c r="BG10" i="27"/>
  <c r="BG28" i="27"/>
  <c r="BG21" i="27"/>
  <c r="BG8" i="27"/>
  <c r="BG27" i="27"/>
  <c r="BG16" i="27"/>
  <c r="BG46" i="27"/>
  <c r="BJ43" i="27"/>
  <c r="BJ40" i="27"/>
  <c r="BJ37" i="27"/>
  <c r="BJ20" i="27"/>
  <c r="BI22" i="27"/>
  <c r="BI16" i="27"/>
  <c r="BI14" i="27"/>
  <c r="BI19" i="27"/>
  <c r="BI34" i="27"/>
  <c r="BI43" i="27"/>
  <c r="BJ44" i="27"/>
  <c r="BI21" i="27"/>
  <c r="BJ38" i="27"/>
  <c r="BI20" i="27"/>
  <c r="BI39" i="27"/>
  <c r="BJ46" i="27"/>
  <c r="BI46" i="27"/>
  <c r="BJ15" i="27"/>
  <c r="BJ33" i="27"/>
  <c r="BJ27" i="27"/>
  <c r="BJ21" i="27"/>
  <c r="BI38" i="27"/>
  <c r="BI28" i="27"/>
  <c r="BJ39" i="27"/>
  <c r="BJ34" i="27"/>
  <c r="BJ19" i="27"/>
  <c r="BI15" i="27"/>
  <c r="BI33" i="27"/>
  <c r="BI27" i="27"/>
  <c r="BI40" i="27"/>
  <c r="BJ22" i="27"/>
  <c r="BJ51" i="27"/>
  <c r="BJ13" i="27"/>
  <c r="BJ10" i="27"/>
  <c r="BJ28" i="27"/>
  <c r="BJ50" i="27"/>
  <c r="BI45" i="27"/>
  <c r="BJ16" i="27"/>
  <c r="BI13" i="27"/>
  <c r="BJ9" i="27"/>
  <c r="BJ49" i="27"/>
  <c r="BI44" i="27"/>
  <c r="BI10" i="27"/>
  <c r="BI8" i="27"/>
  <c r="BJ8" i="27"/>
  <c r="BJ52" i="27"/>
  <c r="BJ45" i="27"/>
  <c r="BJ14" i="27"/>
  <c r="BI9" i="27"/>
  <c r="BG25" i="27"/>
  <c r="BG31" i="27"/>
  <c r="BJ25" i="27"/>
  <c r="BJ31" i="27"/>
  <c r="BI31" i="27"/>
  <c r="BG26" i="27"/>
  <c r="BG32" i="27"/>
  <c r="BI26" i="27"/>
  <c r="AP24" i="27"/>
  <c r="BI32" i="27"/>
  <c r="BI25" i="27"/>
  <c r="BH7" i="27" l="1"/>
  <c r="BH32" i="27"/>
  <c r="BH14" i="27"/>
  <c r="BH16" i="27"/>
  <c r="BH40" i="27"/>
  <c r="BH44" i="27"/>
  <c r="BH33" i="27"/>
  <c r="BH20" i="27"/>
  <c r="BH37" i="27"/>
  <c r="BH9" i="27"/>
  <c r="BH15" i="27"/>
  <c r="BH13" i="27"/>
  <c r="BH38" i="27"/>
  <c r="BH51" i="27"/>
  <c r="BH27" i="27"/>
  <c r="BH10" i="27"/>
  <c r="BH46" i="27"/>
  <c r="BH21" i="27"/>
  <c r="BH22" i="27"/>
  <c r="BH43" i="27"/>
  <c r="BH8" i="27"/>
  <c r="BH49" i="27"/>
  <c r="BH45" i="27"/>
  <c r="BH28" i="27"/>
  <c r="BH39" i="27"/>
  <c r="BH19" i="27"/>
  <c r="BH31" i="27"/>
  <c r="BH52" i="27"/>
  <c r="BH50" i="27"/>
  <c r="BH34" i="27"/>
  <c r="BH26" i="27"/>
  <c r="BH25" i="27"/>
  <c r="BK38" i="27" l="1"/>
  <c r="AY38" i="27" s="1"/>
  <c r="BK51" i="27"/>
  <c r="AY51" i="27" s="1"/>
  <c r="BK52" i="27"/>
  <c r="AY52" i="27" s="1"/>
  <c r="BK50" i="27"/>
  <c r="AY50" i="27" s="1"/>
  <c r="BK49" i="27"/>
  <c r="AY49" i="27" s="1"/>
  <c r="BK14" i="27"/>
  <c r="AY14" i="27" s="1"/>
  <c r="BK16" i="27"/>
  <c r="AY16" i="27" s="1"/>
  <c r="BK21" i="27"/>
  <c r="AY21" i="27" s="1"/>
  <c r="BK8" i="27"/>
  <c r="AY8" i="27" s="1"/>
  <c r="BK22" i="27"/>
  <c r="AY22" i="27" s="1"/>
  <c r="BK7" i="27"/>
  <c r="AY7" i="27" s="1"/>
  <c r="BK20" i="27"/>
  <c r="AY20" i="27" s="1"/>
  <c r="BK44" i="27"/>
  <c r="AY44" i="27" s="1"/>
  <c r="BK15" i="27"/>
  <c r="AY15" i="27" s="1"/>
  <c r="BK40" i="27"/>
  <c r="AY40" i="27" s="1"/>
  <c r="BK13" i="27"/>
  <c r="AY13" i="27" s="1"/>
  <c r="BD13" i="27" s="1"/>
  <c r="BK39" i="27"/>
  <c r="AY39" i="27" s="1"/>
  <c r="BK10" i="27"/>
  <c r="AY10" i="27" s="1"/>
  <c r="BK9" i="27"/>
  <c r="AY9" i="27" s="1"/>
  <c r="BK43" i="27"/>
  <c r="AY43" i="27" s="1"/>
  <c r="BK34" i="27"/>
  <c r="AY34" i="27" s="1"/>
  <c r="BK46" i="27"/>
  <c r="AY46" i="27" s="1"/>
  <c r="BK19" i="27"/>
  <c r="AY19" i="27" s="1"/>
  <c r="BK37" i="27"/>
  <c r="AY37" i="27" s="1"/>
  <c r="BD37" i="27" s="1"/>
  <c r="BK31" i="27"/>
  <c r="AY31" i="27" s="1"/>
  <c r="BK32" i="27"/>
  <c r="AY32" i="27" s="1"/>
  <c r="BK33" i="27"/>
  <c r="AY33" i="27" s="1"/>
  <c r="BK45" i="27"/>
  <c r="AY45" i="27" s="1"/>
  <c r="BD45" i="27" s="1"/>
  <c r="BK26" i="27"/>
  <c r="AY26" i="27" s="1"/>
  <c r="BK25" i="27"/>
  <c r="AY25" i="27" s="1"/>
  <c r="BK27" i="27"/>
  <c r="AY27" i="27" s="1"/>
  <c r="BK28" i="27"/>
  <c r="AY28" i="27" s="1"/>
  <c r="BD31" i="27" l="1"/>
  <c r="BD50" i="27"/>
  <c r="BD52" i="27"/>
  <c r="BD51" i="27"/>
  <c r="BD49" i="27"/>
  <c r="BD46" i="27"/>
  <c r="BD44" i="27"/>
  <c r="BD43" i="27"/>
  <c r="BD40" i="27"/>
  <c r="BD39" i="27"/>
  <c r="BD38" i="27"/>
  <c r="BD28" i="27"/>
  <c r="BD33" i="27"/>
  <c r="BD32" i="27"/>
  <c r="BD34" i="27"/>
  <c r="BD27" i="27"/>
  <c r="BD26" i="27"/>
  <c r="BD20" i="27"/>
  <c r="BD21" i="27"/>
  <c r="BD25" i="27"/>
  <c r="BD19" i="27"/>
  <c r="BD22" i="27"/>
  <c r="BD9" i="27"/>
  <c r="BD16" i="27"/>
  <c r="BD15" i="27"/>
  <c r="BD14" i="27"/>
  <c r="BD10" i="27"/>
  <c r="BD8" i="27"/>
  <c r="BD7" i="27"/>
  <c r="AS50" i="27" l="1"/>
  <c r="AS44" i="27"/>
  <c r="AS22" i="27"/>
  <c r="AS52" i="27"/>
  <c r="AS51" i="27"/>
  <c r="AS49" i="27"/>
  <c r="AS31" i="27"/>
  <c r="AS38" i="27"/>
  <c r="AS13" i="27"/>
  <c r="AS43" i="27"/>
  <c r="AS45" i="27"/>
  <c r="AS46" i="27"/>
  <c r="AS39" i="27"/>
  <c r="AS40" i="27"/>
  <c r="AS37" i="27"/>
  <c r="AS32" i="27"/>
  <c r="AS34" i="27"/>
  <c r="AS33" i="27"/>
  <c r="AS21" i="27"/>
  <c r="AS19" i="27"/>
  <c r="AS20" i="27"/>
  <c r="AS15" i="27"/>
  <c r="AS14" i="27"/>
  <c r="AS16" i="27"/>
  <c r="AS8" i="27"/>
  <c r="AS9" i="27"/>
  <c r="AS10" i="27"/>
  <c r="AS7" i="27"/>
  <c r="AS26" i="27"/>
  <c r="AS27" i="27"/>
  <c r="AS28" i="27"/>
  <c r="AS25" i="27"/>
  <c r="R31" i="27" l="1"/>
  <c r="I59" i="27" s="1"/>
  <c r="F61" i="28" s="1"/>
  <c r="R37" i="27"/>
  <c r="BM37" i="27" s="1"/>
  <c r="R19" i="27"/>
  <c r="I55" i="27" s="1"/>
  <c r="F57" i="28" s="1"/>
  <c r="R13" i="27"/>
  <c r="BM13" i="27" s="1"/>
  <c r="R32" i="27"/>
  <c r="J61" i="27" s="1"/>
  <c r="G63" i="28" s="1"/>
  <c r="R34" i="27"/>
  <c r="X34" i="27" s="1"/>
  <c r="R38" i="27"/>
  <c r="BM38" i="27" s="1"/>
  <c r="R20" i="27"/>
  <c r="Z20" i="27" s="1"/>
  <c r="R46" i="27"/>
  <c r="BM46" i="27" s="1"/>
  <c r="R51" i="27"/>
  <c r="BL51" i="27" s="1"/>
  <c r="R39" i="27"/>
  <c r="S39" i="27" s="1"/>
  <c r="R33" i="27"/>
  <c r="X33" i="27" s="1"/>
  <c r="R40" i="27"/>
  <c r="V40" i="27" s="1"/>
  <c r="R50" i="27"/>
  <c r="X50" i="27" s="1"/>
  <c r="R44" i="27"/>
  <c r="S44" i="27" s="1"/>
  <c r="R49" i="27"/>
  <c r="V49" i="27" s="1"/>
  <c r="R52" i="27"/>
  <c r="BL52" i="27" s="1"/>
  <c r="R45" i="27"/>
  <c r="BN45" i="27" s="1"/>
  <c r="R43" i="27"/>
  <c r="S43" i="27" s="1"/>
  <c r="R21" i="27"/>
  <c r="BN21" i="27" s="1"/>
  <c r="R22" i="27"/>
  <c r="V22" i="27" s="1"/>
  <c r="R14" i="27"/>
  <c r="R16" i="27"/>
  <c r="R15" i="27"/>
  <c r="R9" i="27"/>
  <c r="U9" i="27" s="1"/>
  <c r="R8" i="27"/>
  <c r="R10" i="27"/>
  <c r="R7" i="27"/>
  <c r="R26" i="27"/>
  <c r="R28" i="27"/>
  <c r="R25" i="27"/>
  <c r="R27" i="27"/>
  <c r="V37" i="27" l="1"/>
  <c r="U31" i="27"/>
  <c r="X37" i="27"/>
  <c r="U34" i="27"/>
  <c r="BL31" i="27"/>
  <c r="S31" i="27"/>
  <c r="V31" i="27"/>
  <c r="BN34" i="27"/>
  <c r="Z34" i="27"/>
  <c r="T37" i="27"/>
  <c r="P61" i="27"/>
  <c r="I66" i="27" s="1"/>
  <c r="F67" i="28" s="1"/>
  <c r="T31" i="27"/>
  <c r="BN31" i="27"/>
  <c r="X31" i="27"/>
  <c r="T19" i="27"/>
  <c r="BL19" i="27"/>
  <c r="BL37" i="27"/>
  <c r="T34" i="27"/>
  <c r="BN32" i="27"/>
  <c r="BM31" i="27"/>
  <c r="Z31" i="27"/>
  <c r="BL34" i="27"/>
  <c r="BO34" i="27" s="1"/>
  <c r="Z37" i="27"/>
  <c r="BN37" i="27"/>
  <c r="V34" i="27"/>
  <c r="U37" i="27"/>
  <c r="S34" i="27"/>
  <c r="BM34" i="27"/>
  <c r="S37" i="27"/>
  <c r="U50" i="27"/>
  <c r="I61" i="27"/>
  <c r="F63" i="28" s="1"/>
  <c r="X39" i="27"/>
  <c r="T39" i="27"/>
  <c r="BM19" i="27"/>
  <c r="BN39" i="27"/>
  <c r="U39" i="27"/>
  <c r="BL39" i="27"/>
  <c r="Z19" i="27"/>
  <c r="BM39" i="27"/>
  <c r="V39" i="27"/>
  <c r="X19" i="27"/>
  <c r="U19" i="27"/>
  <c r="Z39" i="27"/>
  <c r="BN19" i="27"/>
  <c r="BO19" i="27" s="1"/>
  <c r="V19" i="27"/>
  <c r="S19" i="27"/>
  <c r="BL50" i="27"/>
  <c r="X13" i="27"/>
  <c r="V13" i="27"/>
  <c r="I57" i="27"/>
  <c r="F59" i="28" s="1"/>
  <c r="Z13" i="27"/>
  <c r="U13" i="27"/>
  <c r="S13" i="27"/>
  <c r="BL13" i="27"/>
  <c r="BN13" i="27"/>
  <c r="T13" i="27"/>
  <c r="BL32" i="27"/>
  <c r="X32" i="27"/>
  <c r="T32" i="27"/>
  <c r="Z32" i="27"/>
  <c r="BM43" i="27"/>
  <c r="S32" i="27"/>
  <c r="U32" i="27"/>
  <c r="BM32" i="27"/>
  <c r="V32" i="27"/>
  <c r="X49" i="27"/>
  <c r="BN43" i="27"/>
  <c r="S46" i="27"/>
  <c r="T46" i="27"/>
  <c r="BL43" i="27"/>
  <c r="U45" i="27"/>
  <c r="BM33" i="27"/>
  <c r="Z45" i="27"/>
  <c r="T33" i="27"/>
  <c r="T44" i="27"/>
  <c r="BL49" i="27"/>
  <c r="Z44" i="27"/>
  <c r="Z43" i="27"/>
  <c r="U43" i="27"/>
  <c r="BO49" i="27"/>
  <c r="I60" i="27"/>
  <c r="F62" i="28" s="1"/>
  <c r="T49" i="27"/>
  <c r="BN38" i="27"/>
  <c r="BL38" i="27"/>
  <c r="S33" i="27"/>
  <c r="BN33" i="27"/>
  <c r="U33" i="27"/>
  <c r="BL33" i="27"/>
  <c r="S45" i="27"/>
  <c r="BL45" i="27"/>
  <c r="BN44" i="27"/>
  <c r="V46" i="27"/>
  <c r="S38" i="27"/>
  <c r="Z38" i="27"/>
  <c r="V33" i="27"/>
  <c r="Z33" i="27"/>
  <c r="BM45" i="27"/>
  <c r="U44" i="27"/>
  <c r="Z46" i="27"/>
  <c r="BN46" i="27"/>
  <c r="U51" i="27"/>
  <c r="U40" i="27"/>
  <c r="W40" i="27" s="1"/>
  <c r="BL20" i="27"/>
  <c r="S20" i="27"/>
  <c r="J58" i="27"/>
  <c r="G60" i="28" s="1"/>
  <c r="V51" i="27"/>
  <c r="BM51" i="27"/>
  <c r="BN20" i="27"/>
  <c r="Z51" i="27"/>
  <c r="BN51" i="27"/>
  <c r="X20" i="27"/>
  <c r="T20" i="27"/>
  <c r="BO51" i="27"/>
  <c r="X51" i="27"/>
  <c r="V20" i="27"/>
  <c r="U20" i="27"/>
  <c r="T51" i="27"/>
  <c r="S51" i="27"/>
  <c r="BM40" i="27"/>
  <c r="X45" i="27"/>
  <c r="V45" i="27"/>
  <c r="J62" i="27"/>
  <c r="G64" i="28" s="1"/>
  <c r="V44" i="27"/>
  <c r="BL44" i="27"/>
  <c r="BL46" i="27"/>
  <c r="BO46" i="27" s="1"/>
  <c r="X46" i="27"/>
  <c r="U38" i="27"/>
  <c r="T38" i="27"/>
  <c r="J59" i="27"/>
  <c r="V38" i="27"/>
  <c r="T45" i="27"/>
  <c r="X44" i="27"/>
  <c r="BM44" i="27"/>
  <c r="U46" i="27"/>
  <c r="X38" i="27"/>
  <c r="T50" i="27"/>
  <c r="Z40" i="27"/>
  <c r="BL40" i="27"/>
  <c r="X40" i="27"/>
  <c r="T40" i="27"/>
  <c r="BM20" i="27"/>
  <c r="S40" i="27"/>
  <c r="BN40" i="27"/>
  <c r="BM50" i="27"/>
  <c r="X43" i="27"/>
  <c r="T43" i="27"/>
  <c r="S9" i="27"/>
  <c r="Z49" i="27"/>
  <c r="S49" i="27"/>
  <c r="I62" i="27"/>
  <c r="F64" i="28" s="1"/>
  <c r="BN50" i="27"/>
  <c r="BM49" i="27"/>
  <c r="BM52" i="27"/>
  <c r="V50" i="27"/>
  <c r="W50" i="27" s="1"/>
  <c r="V43" i="27"/>
  <c r="X52" i="27"/>
  <c r="U49" i="27"/>
  <c r="W49" i="27" s="1"/>
  <c r="S50" i="27"/>
  <c r="BO50" i="27"/>
  <c r="Z50" i="27"/>
  <c r="BN49" i="27"/>
  <c r="J60" i="27"/>
  <c r="G62" i="28" s="1"/>
  <c r="T52" i="27"/>
  <c r="BN52" i="27"/>
  <c r="S52" i="27"/>
  <c r="Z52" i="27"/>
  <c r="BO52" i="27"/>
  <c r="U52" i="27"/>
  <c r="V52" i="27"/>
  <c r="T22" i="27"/>
  <c r="V21" i="27"/>
  <c r="BL21" i="27"/>
  <c r="BM22" i="27"/>
  <c r="Z21" i="27"/>
  <c r="S21" i="27"/>
  <c r="BM21" i="27"/>
  <c r="X21" i="27"/>
  <c r="T21" i="27"/>
  <c r="U21" i="27"/>
  <c r="W21" i="27" s="1"/>
  <c r="BN22" i="27"/>
  <c r="X22" i="27"/>
  <c r="U22" i="27"/>
  <c r="W22" i="27" s="1"/>
  <c r="Z22" i="27"/>
  <c r="BM9" i="27"/>
  <c r="BL22" i="27"/>
  <c r="S22" i="27"/>
  <c r="BM15" i="27"/>
  <c r="V15" i="27"/>
  <c r="BL15" i="27"/>
  <c r="S15" i="27"/>
  <c r="BN15" i="27"/>
  <c r="X15" i="27"/>
  <c r="U15" i="27"/>
  <c r="Z15" i="27"/>
  <c r="T15" i="27"/>
  <c r="T16" i="27"/>
  <c r="V16" i="27"/>
  <c r="BM16" i="27"/>
  <c r="BN16" i="27"/>
  <c r="X16" i="27"/>
  <c r="Z16" i="27"/>
  <c r="U16" i="27"/>
  <c r="BL16" i="27"/>
  <c r="S16" i="27"/>
  <c r="S14" i="27"/>
  <c r="BM14" i="27"/>
  <c r="J56" i="27"/>
  <c r="G58" i="28" s="1"/>
  <c r="X14" i="27"/>
  <c r="Z14" i="27"/>
  <c r="BL14" i="27"/>
  <c r="BN14" i="27"/>
  <c r="V14" i="27"/>
  <c r="U14" i="27"/>
  <c r="T14" i="27"/>
  <c r="Z9" i="27"/>
  <c r="BN9" i="27"/>
  <c r="X9" i="27"/>
  <c r="V9" i="27"/>
  <c r="W9" i="27" s="1"/>
  <c r="T9" i="27"/>
  <c r="BL9" i="27"/>
  <c r="J57" i="27"/>
  <c r="G59" i="28" s="1"/>
  <c r="BL8" i="27"/>
  <c r="BN8" i="27"/>
  <c r="X8" i="27"/>
  <c r="V8" i="27"/>
  <c r="T8" i="27"/>
  <c r="U8" i="27"/>
  <c r="S8" i="27"/>
  <c r="BM8" i="27"/>
  <c r="Z8" i="27"/>
  <c r="T7" i="27"/>
  <c r="U7" i="27"/>
  <c r="I56" i="27"/>
  <c r="F58" i="28" s="1"/>
  <c r="X7" i="27"/>
  <c r="BM7" i="27"/>
  <c r="BN7" i="27"/>
  <c r="BL7" i="27"/>
  <c r="Z7" i="27"/>
  <c r="V7" i="27"/>
  <c r="S7" i="27"/>
  <c r="BL10" i="27"/>
  <c r="Z10" i="27"/>
  <c r="U10" i="27"/>
  <c r="S10" i="27"/>
  <c r="V10" i="27"/>
  <c r="T10" i="27"/>
  <c r="X10" i="27"/>
  <c r="BN10" i="27"/>
  <c r="BM10" i="27"/>
  <c r="BL25" i="27"/>
  <c r="I58" i="27"/>
  <c r="F60" i="28" s="1"/>
  <c r="BL26" i="27"/>
  <c r="J55" i="27"/>
  <c r="G57" i="28" s="1"/>
  <c r="X27" i="27"/>
  <c r="BL27" i="27"/>
  <c r="X28" i="27"/>
  <c r="BL28" i="27"/>
  <c r="X25" i="27"/>
  <c r="X26" i="27"/>
  <c r="Z26" i="27"/>
  <c r="Z27" i="27"/>
  <c r="Z25" i="27"/>
  <c r="Z28" i="27"/>
  <c r="U28" i="27"/>
  <c r="V28" i="27"/>
  <c r="U26" i="27"/>
  <c r="V26" i="27"/>
  <c r="BM27" i="27"/>
  <c r="V27" i="27"/>
  <c r="U27" i="27"/>
  <c r="BN25" i="27"/>
  <c r="V25" i="27"/>
  <c r="BM26" i="27"/>
  <c r="T26" i="27"/>
  <c r="BN26" i="27"/>
  <c r="S26" i="27"/>
  <c r="T27" i="27"/>
  <c r="S28" i="27"/>
  <c r="BN28" i="27"/>
  <c r="U25" i="27"/>
  <c r="T28" i="27"/>
  <c r="T25" i="27"/>
  <c r="BM28" i="27"/>
  <c r="S27" i="27"/>
  <c r="BM25" i="27"/>
  <c r="S25" i="27"/>
  <c r="BN27" i="27"/>
  <c r="W31" i="27"/>
  <c r="BO31" i="27" l="1"/>
  <c r="W37" i="27"/>
  <c r="BO7" i="27"/>
  <c r="W34" i="27"/>
  <c r="BO9" i="27"/>
  <c r="BO37" i="27"/>
  <c r="W33" i="27"/>
  <c r="P59" i="27"/>
  <c r="I65" i="27" s="1"/>
  <c r="F66" i="28" s="1"/>
  <c r="G61" i="28"/>
  <c r="P60" i="27"/>
  <c r="J65" i="27" s="1"/>
  <c r="P62" i="27"/>
  <c r="J66" i="27" s="1"/>
  <c r="BO13" i="27"/>
  <c r="W39" i="27"/>
  <c r="BO39" i="27"/>
  <c r="W19" i="27"/>
  <c r="BO38" i="27"/>
  <c r="W46" i="27"/>
  <c r="BO20" i="27"/>
  <c r="BO32" i="27"/>
  <c r="BO33" i="27"/>
  <c r="BO40" i="27"/>
  <c r="W32" i="27"/>
  <c r="W13" i="27"/>
  <c r="BO43" i="27"/>
  <c r="BO14" i="27"/>
  <c r="BO22" i="27"/>
  <c r="BO21" i="27"/>
  <c r="BO15" i="27"/>
  <c r="BO16" i="27"/>
  <c r="BO45" i="27"/>
  <c r="BO44" i="27"/>
  <c r="BO10" i="27"/>
  <c r="W45" i="27"/>
  <c r="BO8" i="27"/>
  <c r="W43" i="27"/>
  <c r="W51" i="27"/>
  <c r="W44" i="27"/>
  <c r="W38" i="27"/>
  <c r="W20" i="27"/>
  <c r="W52" i="27"/>
  <c r="W14" i="27"/>
  <c r="W15" i="27"/>
  <c r="W16" i="27"/>
  <c r="W8" i="27"/>
  <c r="P56" i="27"/>
  <c r="W7" i="27"/>
  <c r="W10" i="27"/>
  <c r="BO28" i="27"/>
  <c r="BO27" i="27"/>
  <c r="P55" i="27"/>
  <c r="J64" i="27" s="1"/>
  <c r="G65" i="28" s="1"/>
  <c r="P58" i="27"/>
  <c r="J67" i="27" s="1"/>
  <c r="G68" i="28" s="1"/>
  <c r="BO25" i="27"/>
  <c r="BO26" i="27"/>
  <c r="W26" i="27"/>
  <c r="W28" i="27"/>
  <c r="W25" i="27"/>
  <c r="W27" i="27"/>
  <c r="I64" i="27" l="1"/>
  <c r="F65" i="28" s="1"/>
  <c r="G66" i="28"/>
  <c r="P65" i="27"/>
  <c r="J69" i="27" s="1"/>
  <c r="Q69" i="27" s="1"/>
  <c r="G67" i="28"/>
  <c r="P66" i="27"/>
  <c r="J70" i="27" s="1"/>
  <c r="G70" i="28" s="1"/>
  <c r="P57" i="27"/>
  <c r="I67" i="27" s="1"/>
  <c r="F68" i="28" s="1"/>
  <c r="G69" i="28" l="1"/>
  <c r="P67" i="27"/>
  <c r="I70" i="27" s="1"/>
  <c r="P70" i="27" l="1"/>
  <c r="J73" i="27" s="1"/>
  <c r="G72" i="28" s="1"/>
  <c r="F70" i="28"/>
  <c r="Q70" i="27"/>
  <c r="P64" i="27"/>
  <c r="I69" i="27" s="1"/>
  <c r="F69" i="28" s="1"/>
  <c r="J72" i="27" l="1"/>
  <c r="G71" i="28" s="1"/>
  <c r="P69" i="27"/>
  <c r="I72" i="27" s="1"/>
  <c r="F71" i="28" l="1"/>
  <c r="I73" i="27"/>
  <c r="F72" i="28" s="1"/>
  <c r="P73" i="27" l="1"/>
</calcChain>
</file>

<file path=xl/sharedStrings.xml><?xml version="1.0" encoding="utf-8"?>
<sst xmlns="http://schemas.openxmlformats.org/spreadsheetml/2006/main" count="720" uniqueCount="280">
  <si>
    <t>+</t>
  </si>
  <si>
    <t>-</t>
  </si>
  <si>
    <t>DIFF</t>
  </si>
  <si>
    <t>TEAM</t>
  </si>
  <si>
    <t>No</t>
  </si>
  <si>
    <t>P</t>
  </si>
  <si>
    <t>Addis Ababa</t>
  </si>
  <si>
    <t>Adelaide</t>
  </si>
  <si>
    <t>Aden</t>
  </si>
  <si>
    <t>Algiers</t>
  </si>
  <si>
    <t>Almaty</t>
  </si>
  <si>
    <t>Antananarivo</t>
  </si>
  <si>
    <t>Asuncion</t>
  </si>
  <si>
    <t>Auckland</t>
  </si>
  <si>
    <t>Baghdad</t>
  </si>
  <si>
    <t>Bangkok</t>
  </si>
  <si>
    <t>Beijing</t>
  </si>
  <si>
    <t>Bogota</t>
  </si>
  <si>
    <t>Brasilia</t>
  </si>
  <si>
    <t>Brisbane</t>
  </si>
  <si>
    <t>Buenos Aires</t>
  </si>
  <si>
    <t>Cairo</t>
  </si>
  <si>
    <t>Canberra</t>
  </si>
  <si>
    <t>Cape Town</t>
  </si>
  <si>
    <t>Caracas</t>
  </si>
  <si>
    <t>Casablanca</t>
  </si>
  <si>
    <t>Darwin</t>
  </si>
  <si>
    <t>Dhaka</t>
  </si>
  <si>
    <t>Dubai</t>
  </si>
  <si>
    <t>Guatemala</t>
  </si>
  <si>
    <t>Hanoi</t>
  </si>
  <si>
    <t>Harare</t>
  </si>
  <si>
    <t>Hong Kong</t>
  </si>
  <si>
    <t>Honolulu</t>
  </si>
  <si>
    <t>Islamabad</t>
  </si>
  <si>
    <t>Jakarta</t>
  </si>
  <si>
    <t>Johannesburg</t>
  </si>
  <si>
    <t>Kabul</t>
  </si>
  <si>
    <t>Karachi</t>
  </si>
  <si>
    <t>Khartoum</t>
  </si>
  <si>
    <t>Kingston</t>
  </si>
  <si>
    <t>Kiritimati</t>
  </si>
  <si>
    <t>Kolkata</t>
  </si>
  <si>
    <t>Kuala Lumpur</t>
  </si>
  <si>
    <t>Kuwait City</t>
  </si>
  <si>
    <t>La Paz</t>
  </si>
  <si>
    <t>Lagos</t>
  </si>
  <si>
    <t>Lahore</t>
  </si>
  <si>
    <t>Lima</t>
  </si>
  <si>
    <t>Managua</t>
  </si>
  <si>
    <t>Manila</t>
  </si>
  <si>
    <t>Melbourne</t>
  </si>
  <si>
    <t>Montevideo</t>
  </si>
  <si>
    <t>Mumbai</t>
  </si>
  <si>
    <t>Nairobi</t>
  </si>
  <si>
    <t>New Delhi</t>
  </si>
  <si>
    <t>Perth</t>
  </si>
  <si>
    <t>Phoenix</t>
  </si>
  <si>
    <t>Reykjavik</t>
  </si>
  <si>
    <t>Rio de Janeiro</t>
  </si>
  <si>
    <t>Riyadh</t>
  </si>
  <si>
    <t>San Juan</t>
  </si>
  <si>
    <t>San Salvador</t>
  </si>
  <si>
    <t>Santiago</t>
  </si>
  <si>
    <t>Santo Domingo</t>
  </si>
  <si>
    <t>Sao Paulo</t>
  </si>
  <si>
    <t>Seoul</t>
  </si>
  <si>
    <t>Shanghai</t>
  </si>
  <si>
    <t>Singapore</t>
  </si>
  <si>
    <t>Suva</t>
  </si>
  <si>
    <t>Sydney</t>
  </si>
  <si>
    <t>Taipei</t>
  </si>
  <si>
    <t>Tashkent</t>
  </si>
  <si>
    <t>Tegucigalpa</t>
  </si>
  <si>
    <t>Tokyo</t>
  </si>
  <si>
    <t>Yangon</t>
  </si>
  <si>
    <t>Germany</t>
  </si>
  <si>
    <t>GMT</t>
  </si>
  <si>
    <t>UEFA</t>
  </si>
  <si>
    <t>G1</t>
  </si>
  <si>
    <t>Croatia</t>
  </si>
  <si>
    <t>Spain</t>
  </si>
  <si>
    <t>England</t>
  </si>
  <si>
    <t>Switzerland</t>
  </si>
  <si>
    <t>Portugal</t>
  </si>
  <si>
    <t>Belgium</t>
  </si>
  <si>
    <t>M</t>
  </si>
  <si>
    <t>TOTAL</t>
  </si>
  <si>
    <t>Poland</t>
  </si>
  <si>
    <t>cities</t>
  </si>
  <si>
    <t>London</t>
  </si>
  <si>
    <t>Amman</t>
  </si>
  <si>
    <t>Amsterdam</t>
  </si>
  <si>
    <t>Anadyr</t>
  </si>
  <si>
    <t>Anchorage</t>
  </si>
  <si>
    <t>Ankara</t>
  </si>
  <si>
    <t>Athens</t>
  </si>
  <si>
    <t>Atlanta</t>
  </si>
  <si>
    <t>Barcelona</t>
  </si>
  <si>
    <t>Beirut</t>
  </si>
  <si>
    <t>Belgrade</t>
  </si>
  <si>
    <t>Berlin</t>
  </si>
  <si>
    <t>Boston</t>
  </si>
  <si>
    <t>Brussels</t>
  </si>
  <si>
    <t>Bucharest</t>
  </si>
  <si>
    <t>Budapest</t>
  </si>
  <si>
    <t>Chicago</t>
  </si>
  <si>
    <t>Copenhagen</t>
  </si>
  <si>
    <t>Denver</t>
  </si>
  <si>
    <t>Detroit</t>
  </si>
  <si>
    <t>Dublin</t>
  </si>
  <si>
    <t>Edmonton</t>
  </si>
  <si>
    <t>Frankfurt</t>
  </si>
  <si>
    <t>Geneva</t>
  </si>
  <si>
    <t>Halifax</t>
  </si>
  <si>
    <t>Havana</t>
  </si>
  <si>
    <t>Helsinki</t>
  </si>
  <si>
    <t>Houston</t>
  </si>
  <si>
    <t>Indianapolis</t>
  </si>
  <si>
    <t>Istanbul</t>
  </si>
  <si>
    <t>Jerusalem</t>
  </si>
  <si>
    <t>Kamchatka</t>
  </si>
  <si>
    <t>Kyiv</t>
  </si>
  <si>
    <t>Lisbon</t>
  </si>
  <si>
    <t>Los Angeles</t>
  </si>
  <si>
    <t>Madrid</t>
  </si>
  <si>
    <t>Mexico City</t>
  </si>
  <si>
    <t>Miami</t>
  </si>
  <si>
    <t>Minneapolis</t>
  </si>
  <si>
    <t>Minsk</t>
  </si>
  <si>
    <t>Montgomery</t>
  </si>
  <si>
    <t>Montreal</t>
  </si>
  <si>
    <t>Moscow</t>
  </si>
  <si>
    <t>Nassau</t>
  </si>
  <si>
    <t>New Orleans</t>
  </si>
  <si>
    <t>New York</t>
  </si>
  <si>
    <t>Oslo</t>
  </si>
  <si>
    <t>Ottawa</t>
  </si>
  <si>
    <t>Paris</t>
  </si>
  <si>
    <t>Philadelphia</t>
  </si>
  <si>
    <t>Prague</t>
  </si>
  <si>
    <t>Rome</t>
  </si>
  <si>
    <t>San Francisco</t>
  </si>
  <si>
    <t>Seattle</t>
  </si>
  <si>
    <t>Sofia</t>
  </si>
  <si>
    <t>St. John's</t>
  </si>
  <si>
    <t>St. Paul</t>
  </si>
  <si>
    <t>Stockholm</t>
  </si>
  <si>
    <t>Tallinn</t>
  </si>
  <si>
    <t>Tehran</t>
  </si>
  <si>
    <t>Toronto</t>
  </si>
  <si>
    <t>Vancouver</t>
  </si>
  <si>
    <t>Vienna</t>
  </si>
  <si>
    <t>Vladivostok</t>
  </si>
  <si>
    <t>Warsaw</t>
  </si>
  <si>
    <t>Washington DC</t>
  </si>
  <si>
    <t>Winnipeg</t>
  </si>
  <si>
    <t>Zagreb</t>
  </si>
  <si>
    <t>Team</t>
  </si>
  <si>
    <t>Rank</t>
  </si>
  <si>
    <t>Sweden</t>
  </si>
  <si>
    <t>A</t>
  </si>
  <si>
    <t>B</t>
  </si>
  <si>
    <t>C</t>
  </si>
  <si>
    <t>D</t>
  </si>
  <si>
    <t>E</t>
  </si>
  <si>
    <t>F</t>
  </si>
  <si>
    <t>Iceland</t>
  </si>
  <si>
    <t>Pot</t>
  </si>
  <si>
    <t>Group</t>
  </si>
  <si>
    <t>Coeff</t>
  </si>
  <si>
    <t>France</t>
  </si>
  <si>
    <t>group</t>
  </si>
  <si>
    <t>Fair-play</t>
  </si>
  <si>
    <t>Rank UEFA</t>
  </si>
  <si>
    <t>Rank FP</t>
  </si>
  <si>
    <t>SUM</t>
  </si>
  <si>
    <t>London Time</t>
  </si>
  <si>
    <t>Points</t>
  </si>
  <si>
    <t>diff</t>
  </si>
  <si>
    <t>Add</t>
  </si>
  <si>
    <t>Additional scenarios</t>
  </si>
  <si>
    <t>Matches</t>
  </si>
  <si>
    <t>Tables</t>
  </si>
  <si>
    <t>Sum Add</t>
  </si>
  <si>
    <t>CountIf</t>
  </si>
  <si>
    <t>team faktor</t>
  </si>
  <si>
    <t>P +</t>
  </si>
  <si>
    <t>G2</t>
  </si>
  <si>
    <t>Tiebreakers</t>
  </si>
  <si>
    <t>Pts</t>
  </si>
  <si>
    <t>GF</t>
  </si>
  <si>
    <t>GA</t>
  </si>
  <si>
    <t>GD</t>
  </si>
  <si>
    <t>Pld</t>
  </si>
  <si>
    <t>Ranking</t>
  </si>
  <si>
    <t>Player</t>
  </si>
  <si>
    <t>A2</t>
  </si>
  <si>
    <t>A3</t>
  </si>
  <si>
    <t>A4</t>
  </si>
  <si>
    <t>B3</t>
  </si>
  <si>
    <t>B4</t>
  </si>
  <si>
    <t>B1</t>
  </si>
  <si>
    <t>B2</t>
  </si>
  <si>
    <t>C1</t>
  </si>
  <si>
    <t>C2</t>
  </si>
  <si>
    <t>C3</t>
  </si>
  <si>
    <t>C4</t>
  </si>
  <si>
    <t>D1</t>
  </si>
  <si>
    <t>D2</t>
  </si>
  <si>
    <t>D3</t>
  </si>
  <si>
    <t>D4</t>
  </si>
  <si>
    <t>E3</t>
  </si>
  <si>
    <t>E4</t>
  </si>
  <si>
    <t>E1</t>
  </si>
  <si>
    <t>E2</t>
  </si>
  <si>
    <t>F1</t>
  </si>
  <si>
    <t>F2</t>
  </si>
  <si>
    <t>F3</t>
  </si>
  <si>
    <t>F4</t>
  </si>
  <si>
    <t>G3</t>
  </si>
  <si>
    <t>G4</t>
  </si>
  <si>
    <t>H1</t>
  </si>
  <si>
    <t>H2</t>
  </si>
  <si>
    <t>H3</t>
  </si>
  <si>
    <t>H4</t>
  </si>
  <si>
    <t>symbol</t>
  </si>
  <si>
    <t>A1</t>
  </si>
  <si>
    <t>Argentina</t>
  </si>
  <si>
    <t>Brazil</t>
  </si>
  <si>
    <t>Costa Rica</t>
  </si>
  <si>
    <t>Japan</t>
  </si>
  <si>
    <t>G</t>
  </si>
  <si>
    <t>H</t>
  </si>
  <si>
    <t>Peru</t>
  </si>
  <si>
    <t>Colombia</t>
  </si>
  <si>
    <t>Mexico</t>
  </si>
  <si>
    <t>Uruguay</t>
  </si>
  <si>
    <t>Denmark</t>
  </si>
  <si>
    <t>Tunisia</t>
  </si>
  <si>
    <t>Egypt</t>
  </si>
  <si>
    <t>Senegal</t>
  </si>
  <si>
    <t>Iran</t>
  </si>
  <si>
    <t>Serbia</t>
  </si>
  <si>
    <t>Nigeria</t>
  </si>
  <si>
    <t>Australia</t>
  </si>
  <si>
    <t>Morocco</t>
  </si>
  <si>
    <t>Panama</t>
  </si>
  <si>
    <t>Korea Republic</t>
  </si>
  <si>
    <t>Saudi Arabia</t>
  </si>
  <si>
    <t>Russia</t>
  </si>
  <si>
    <t>Player 02</t>
  </si>
  <si>
    <t>Player 03</t>
  </si>
  <si>
    <t>.</t>
  </si>
  <si>
    <t>knockout</t>
  </si>
  <si>
    <t>English</t>
  </si>
  <si>
    <t>Polski</t>
  </si>
  <si>
    <t>русский</t>
  </si>
  <si>
    <t>español</t>
  </si>
  <si>
    <t>Deutsch</t>
  </si>
  <si>
    <t>Team 1</t>
  </si>
  <si>
    <t>Team 2</t>
  </si>
  <si>
    <t>Score</t>
  </si>
  <si>
    <t>Day</t>
  </si>
  <si>
    <t>Date</t>
  </si>
  <si>
    <t>Zurich</t>
  </si>
  <si>
    <t>#</t>
  </si>
  <si>
    <t>Knockout stage</t>
  </si>
  <si>
    <t>Sum</t>
  </si>
  <si>
    <t>(+)</t>
  </si>
  <si>
    <t>(-)</t>
  </si>
  <si>
    <t>+/-</t>
  </si>
  <si>
    <t>Language &gt;</t>
  </si>
  <si>
    <t>&lt; Timezone</t>
  </si>
  <si>
    <t>Select Team &gt;</t>
  </si>
  <si>
    <t>Excel World Cup Russia2018 PRO</t>
  </si>
  <si>
    <t>player 01</t>
  </si>
  <si>
    <t>Fair play</t>
  </si>
  <si>
    <t>Fair Play</t>
  </si>
  <si>
    <t>STD0603EN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</si>
</sst>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hh:mm;@"/>
    <numFmt numFmtId="165" formatCode="0.0"/>
  </numFmts>
  <fonts count="30">
    <font>
      <sz val="11"/>
      <color theme="1"/>
      <name val="Calibri"/>
      <family val="2"/>
      <scheme val="minor"/>
    </font>
    <font>
      <sz val="10"/>
      <name val="Verdana"/>
      <family val="2"/>
    </font>
    <font>
      <sz val="10"/>
      <color theme="1"/>
      <name val="Verdana"/>
      <family val="2"/>
    </font>
    <font>
      <sz val="10"/>
      <color theme="0"/>
      <name val="Verdana"/>
      <family val="2"/>
    </font>
    <font>
      <sz val="12"/>
      <color theme="1"/>
      <name val="Calibri"/>
      <family val="2"/>
      <scheme val="minor"/>
    </font>
    <font>
      <sz val="12"/>
      <color theme="0" tint="-0.499984740745262"/>
      <name val="Calibri"/>
      <family val="2"/>
      <scheme val="minor"/>
    </font>
    <font>
      <u/>
      <sz val="11"/>
      <color theme="10"/>
      <name val="Calibri"/>
      <family val="2"/>
      <scheme val="minor"/>
    </font>
    <font>
      <i/>
      <u/>
      <sz val="11"/>
      <color theme="10"/>
      <name val="Calibri"/>
      <family val="2"/>
      <scheme val="minor"/>
    </font>
    <font>
      <sz val="11"/>
      <color theme="0"/>
      <name val="Calibri"/>
      <family val="2"/>
      <scheme val="minor"/>
    </font>
    <font>
      <b/>
      <sz val="11"/>
      <color theme="1"/>
      <name val="Calibri"/>
      <family val="2"/>
      <scheme val="minor"/>
    </font>
    <font>
      <sz val="12"/>
      <color theme="0"/>
      <name val="Calibri"/>
      <family val="2"/>
      <scheme val="minor"/>
    </font>
    <font>
      <b/>
      <sz val="12"/>
      <color theme="1"/>
      <name val="Calibri"/>
      <family val="2"/>
      <scheme val="minor"/>
    </font>
    <font>
      <sz val="11"/>
      <color rgb="FF9C0006"/>
      <name val="Calibri"/>
      <family val="2"/>
      <scheme val="minor"/>
    </font>
    <font>
      <sz val="12"/>
      <color theme="1" tint="0.499984740745262"/>
      <name val="Calibri"/>
      <family val="2"/>
      <scheme val="minor"/>
    </font>
    <font>
      <sz val="11"/>
      <color rgb="FF9C5700"/>
      <name val="Calibri"/>
      <family val="2"/>
      <scheme val="minor"/>
    </font>
    <font>
      <b/>
      <sz val="11"/>
      <color theme="0"/>
      <name val="Calibri"/>
      <family val="2"/>
      <scheme val="minor"/>
    </font>
    <font>
      <b/>
      <sz val="11"/>
      <color rgb="FF9C0006"/>
      <name val="Calibri"/>
      <family val="2"/>
      <scheme val="minor"/>
    </font>
    <font>
      <b/>
      <sz val="12"/>
      <color theme="0" tint="-0.499984740745262"/>
      <name val="Calibri"/>
      <family val="2"/>
      <scheme val="minor"/>
    </font>
    <font>
      <b/>
      <sz val="11"/>
      <color theme="0" tint="-0.499984740745262"/>
      <name val="Calibri"/>
      <family val="2"/>
      <scheme val="minor"/>
    </font>
    <font>
      <b/>
      <sz val="11"/>
      <name val="Calibri"/>
      <family val="2"/>
      <scheme val="minor"/>
    </font>
    <font>
      <b/>
      <sz val="12"/>
      <color rgb="FF9C0006"/>
      <name val="Calibri"/>
      <family val="2"/>
      <scheme val="minor"/>
    </font>
    <font>
      <sz val="48"/>
      <color theme="0"/>
      <name val="Calibri"/>
      <family val="2"/>
      <scheme val="minor"/>
    </font>
    <font>
      <sz val="9"/>
      <color rgb="FF4B4F56"/>
      <name val="Inherit"/>
    </font>
    <font>
      <sz val="14"/>
      <color theme="0" tint="-0.499984740745262"/>
      <name val="Calibri"/>
      <family val="2"/>
      <scheme val="minor"/>
    </font>
    <font>
      <sz val="14"/>
      <color theme="1"/>
      <name val="Calibri"/>
      <family val="2"/>
      <scheme val="minor"/>
    </font>
    <font>
      <sz val="14"/>
      <color rgb="FF9C5700"/>
      <name val="Verdana"/>
      <family val="2"/>
    </font>
    <font>
      <sz val="14"/>
      <color theme="0"/>
      <name val="Verdana"/>
      <family val="2"/>
    </font>
    <font>
      <b/>
      <sz val="14"/>
      <color theme="0"/>
      <name val="Verdana"/>
      <family val="2"/>
    </font>
    <font>
      <sz val="14"/>
      <color theme="1"/>
      <name val="Verdana"/>
      <family val="2"/>
    </font>
    <font>
      <sz val="12"/>
      <color theme="0" tint="-0.149998474074526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rgb="FFFF9999"/>
        <bgColor indexed="64"/>
      </patternFill>
    </fill>
    <fill>
      <patternFill patternType="solid">
        <fgColor rgb="FFFF0000"/>
        <bgColor indexed="64"/>
      </patternFill>
    </fill>
    <fill>
      <patternFill patternType="solid">
        <fgColor rgb="FF99CCFF"/>
        <bgColor indexed="64"/>
      </patternFill>
    </fill>
    <fill>
      <patternFill patternType="solid">
        <fgColor rgb="FFFFC7CE"/>
      </patternFill>
    </fill>
    <fill>
      <patternFill patternType="solid">
        <fgColor rgb="FFFFEB9C"/>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8"/>
      </left>
      <right/>
      <top style="thin">
        <color theme="8"/>
      </top>
      <bottom/>
      <diagonal/>
    </border>
    <border>
      <left style="thin">
        <color theme="8"/>
      </left>
      <right/>
      <top/>
      <bottom/>
      <diagonal/>
    </border>
    <border>
      <left/>
      <right style="thin">
        <color theme="8"/>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theme="8"/>
      </left>
      <right style="thin">
        <color theme="8"/>
      </right>
      <top/>
      <bottom style="thin">
        <color theme="8"/>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8"/>
      </left>
      <right/>
      <top style="thin">
        <color theme="8"/>
      </top>
      <bottom style="medium">
        <color indexed="64"/>
      </bottom>
      <diagonal/>
    </border>
    <border>
      <left style="thin">
        <color theme="8"/>
      </left>
      <right style="thin">
        <color theme="8"/>
      </right>
      <top style="medium">
        <color indexed="64"/>
      </top>
      <bottom style="thin">
        <color theme="8"/>
      </bottom>
      <diagonal/>
    </border>
    <border>
      <left style="thin">
        <color theme="8"/>
      </left>
      <right/>
      <top style="medium">
        <color indexed="64"/>
      </top>
      <bottom style="thin">
        <color theme="8"/>
      </bottom>
      <diagonal/>
    </border>
    <border>
      <left style="thin">
        <color theme="8"/>
      </left>
      <right/>
      <top style="medium">
        <color indexed="64"/>
      </top>
      <bottom/>
      <diagonal/>
    </border>
    <border>
      <left/>
      <right style="thin">
        <color theme="8"/>
      </right>
      <top style="medium">
        <color indexed="64"/>
      </top>
      <bottom/>
      <diagonal/>
    </border>
    <border>
      <left style="thin">
        <color indexed="64"/>
      </left>
      <right style="thin">
        <color indexed="64"/>
      </right>
      <top style="medium">
        <color indexed="64"/>
      </top>
      <bottom style="medium">
        <color indexed="64"/>
      </bottom>
      <diagonal/>
    </border>
    <border>
      <left style="thin">
        <color theme="8"/>
      </left>
      <right style="thin">
        <color theme="8"/>
      </right>
      <top style="thin">
        <color theme="8"/>
      </top>
      <bottom style="medium">
        <color indexed="64"/>
      </bottom>
      <diagonal/>
    </border>
    <border>
      <left style="thin">
        <color theme="8"/>
      </left>
      <right/>
      <top/>
      <bottom style="medium">
        <color indexed="64"/>
      </bottom>
      <diagonal/>
    </border>
    <border>
      <left/>
      <right style="thin">
        <color theme="8"/>
      </right>
      <top/>
      <bottom style="medium">
        <color indexed="64"/>
      </bottom>
      <diagonal/>
    </border>
  </borders>
  <cellStyleXfs count="5">
    <xf numFmtId="0" fontId="0" fillId="0" borderId="0"/>
    <xf numFmtId="0" fontId="6" fillId="0" borderId="0" applyNumberFormat="0" applyFill="0" applyBorder="0" applyAlignment="0" applyProtection="0"/>
    <xf numFmtId="0" fontId="12"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cellStyleXfs>
  <cellXfs count="240">
    <xf numFmtId="0" fontId="0" fillId="0" borderId="0" xfId="0"/>
    <xf numFmtId="0" fontId="2" fillId="0" borderId="0" xfId="0" applyFont="1"/>
    <xf numFmtId="0" fontId="1" fillId="0" borderId="1" xfId="0" applyFont="1" applyBorder="1" applyAlignment="1" applyProtection="1">
      <protection hidden="1"/>
    </xf>
    <xf numFmtId="0" fontId="1" fillId="0" borderId="1" xfId="0" applyNumberFormat="1" applyFont="1" applyBorder="1" applyAlignment="1" applyProtection="1">
      <protection hidden="1"/>
    </xf>
    <xf numFmtId="0" fontId="1" fillId="0" borderId="1" xfId="0" applyFont="1" applyFill="1" applyBorder="1" applyAlignment="1" applyProtection="1">
      <protection hidden="1"/>
    </xf>
    <xf numFmtId="0" fontId="1" fillId="0" borderId="1" xfId="0" applyNumberFormat="1" applyFont="1" applyFill="1" applyBorder="1" applyAlignment="1" applyProtection="1">
      <protection hidden="1"/>
    </xf>
    <xf numFmtId="0" fontId="2" fillId="0" borderId="0" xfId="0" applyFont="1" applyFill="1"/>
    <xf numFmtId="0" fontId="2" fillId="0" borderId="0" xfId="0" applyFont="1" applyAlignment="1">
      <alignment horizontal="left"/>
    </xf>
    <xf numFmtId="3" fontId="0" fillId="0" borderId="1" xfId="0" applyNumberForma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0" borderId="0" xfId="0" applyFont="1" applyFill="1" applyBorder="1"/>
    <xf numFmtId="0" fontId="0" fillId="0" borderId="0" xfId="0" applyFont="1" applyBorder="1"/>
    <xf numFmtId="3" fontId="0" fillId="0" borderId="0" xfId="0" applyNumberFormat="1" applyBorder="1"/>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xf numFmtId="0" fontId="0" fillId="0" borderId="0" xfId="0" applyFont="1" applyBorder="1" applyAlignment="1">
      <alignment horizontal="left" vertical="center" wrapText="1"/>
    </xf>
    <xf numFmtId="0" fontId="5" fillId="0" borderId="0" xfId="0" applyFont="1" applyFill="1" applyAlignment="1" applyProtection="1">
      <alignment horizontal="left" vertical="top"/>
    </xf>
    <xf numFmtId="0" fontId="5" fillId="0" borderId="2" xfId="0" applyFont="1" applyFill="1" applyBorder="1" applyAlignment="1" applyProtection="1">
      <alignment horizontal="left" vertical="top"/>
    </xf>
    <xf numFmtId="0" fontId="4" fillId="0" borderId="0" xfId="0" applyFont="1" applyFill="1" applyAlignment="1" applyProtection="1">
      <alignment horizontal="left" vertical="top"/>
    </xf>
    <xf numFmtId="0" fontId="4" fillId="0" borderId="5" xfId="0" applyFont="1" applyFill="1" applyBorder="1" applyAlignment="1" applyProtection="1">
      <alignment horizontal="center" vertical="center"/>
    </xf>
    <xf numFmtId="0" fontId="5" fillId="0" borderId="1" xfId="0" applyFont="1" applyFill="1" applyBorder="1" applyAlignment="1" applyProtection="1">
      <alignment horizontal="left" vertical="top"/>
    </xf>
    <xf numFmtId="0" fontId="5" fillId="0" borderId="1" xfId="0" applyNumberFormat="1" applyFont="1" applyFill="1" applyBorder="1" applyAlignment="1" applyProtection="1">
      <alignment horizontal="left" vertical="top"/>
    </xf>
    <xf numFmtId="165" fontId="5" fillId="0" borderId="1" xfId="0" applyNumberFormat="1" applyFont="1" applyFill="1" applyBorder="1" applyAlignment="1" applyProtection="1">
      <alignment horizontal="left" vertical="top"/>
    </xf>
    <xf numFmtId="2" fontId="5" fillId="0" borderId="2" xfId="0" applyNumberFormat="1" applyFont="1" applyFill="1" applyBorder="1" applyAlignment="1" applyProtection="1">
      <alignment horizontal="left" vertical="top"/>
    </xf>
    <xf numFmtId="165" fontId="5" fillId="0" borderId="2" xfId="0" applyNumberFormat="1" applyFont="1" applyFill="1" applyBorder="1" applyAlignment="1" applyProtection="1">
      <alignment horizontal="left" vertical="top"/>
    </xf>
    <xf numFmtId="0" fontId="4" fillId="0" borderId="0" xfId="0" applyFont="1" applyFill="1" applyAlignment="1" applyProtection="1">
      <alignment horizontal="left"/>
    </xf>
    <xf numFmtId="0" fontId="4" fillId="0" borderId="0" xfId="0" applyFont="1" applyFill="1" applyAlignment="1" applyProtection="1">
      <alignment vertical="top"/>
    </xf>
    <xf numFmtId="0" fontId="0" fillId="0" borderId="0" xfId="0" applyFont="1" applyProtection="1"/>
    <xf numFmtId="0" fontId="0" fillId="0" borderId="0" xfId="0" applyFont="1" applyAlignment="1" applyProtection="1">
      <alignment horizontal="center" vertical="center"/>
    </xf>
    <xf numFmtId="0" fontId="0" fillId="0" borderId="3" xfId="0" applyFont="1" applyBorder="1" applyAlignment="1" applyProtection="1">
      <alignment horizontal="center" vertical="center"/>
    </xf>
    <xf numFmtId="0" fontId="0" fillId="0" borderId="3" xfId="0" applyFont="1" applyFill="1" applyBorder="1" applyAlignment="1" applyProtection="1">
      <alignment horizontal="center" vertical="center"/>
      <protection locked="0"/>
    </xf>
    <xf numFmtId="0" fontId="4" fillId="0" borderId="0" xfId="0" applyFont="1" applyFill="1" applyProtection="1"/>
    <xf numFmtId="164" fontId="5" fillId="0" borderId="2" xfId="0" applyNumberFormat="1" applyFont="1" applyFill="1" applyBorder="1" applyAlignment="1" applyProtection="1">
      <alignment horizontal="left" vertical="top" wrapText="1"/>
    </xf>
    <xf numFmtId="164" fontId="5" fillId="0" borderId="1"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xf>
    <xf numFmtId="0" fontId="5" fillId="0" borderId="2" xfId="0" applyNumberFormat="1" applyFont="1" applyFill="1" applyBorder="1" applyAlignment="1" applyProtection="1">
      <alignment horizontal="left" vertical="top" wrapText="1"/>
    </xf>
    <xf numFmtId="0" fontId="5" fillId="0" borderId="0" xfId="0" applyNumberFormat="1" applyFont="1" applyFill="1" applyAlignment="1" applyProtection="1">
      <alignment horizontal="left" vertical="top"/>
    </xf>
    <xf numFmtId="0" fontId="5" fillId="0" borderId="0" xfId="0" applyNumberFormat="1" applyFont="1" applyFill="1" applyAlignment="1" applyProtection="1">
      <alignment horizontal="left" vertical="top" wrapText="1"/>
    </xf>
    <xf numFmtId="0" fontId="2" fillId="0" borderId="0" xfId="0" applyFont="1" applyFill="1" applyAlignment="1">
      <alignment horizontal="center"/>
    </xf>
    <xf numFmtId="0" fontId="2" fillId="0" borderId="0" xfId="0" applyFont="1" applyAlignment="1"/>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0" xfId="0" applyNumberFormat="1" applyFont="1" applyFill="1" applyAlignment="1" applyProtection="1">
      <alignment horizontal="left" vertical="top" wrapText="1"/>
    </xf>
    <xf numFmtId="0" fontId="4" fillId="4" borderId="5" xfId="0" applyFont="1" applyFill="1" applyBorder="1" applyAlignment="1" applyProtection="1">
      <alignment horizontal="center" vertical="center"/>
    </xf>
    <xf numFmtId="0" fontId="4" fillId="4" borderId="5" xfId="0" applyFont="1" applyFill="1" applyBorder="1" applyAlignment="1" applyProtection="1">
      <alignment horizontal="left" vertical="top" indent="1"/>
    </xf>
    <xf numFmtId="0" fontId="4" fillId="2" borderId="0" xfId="0" applyFont="1" applyFill="1" applyBorder="1" applyProtection="1"/>
    <xf numFmtId="0" fontId="4" fillId="2" borderId="0" xfId="0" applyFont="1" applyFill="1" applyBorder="1" applyAlignment="1" applyProtection="1">
      <alignment horizontal="left" vertical="top"/>
    </xf>
    <xf numFmtId="0" fontId="4" fillId="6" borderId="5" xfId="0" applyFont="1" applyFill="1" applyBorder="1" applyAlignment="1" applyProtection="1">
      <alignment horizontal="center" vertical="center"/>
    </xf>
    <xf numFmtId="0" fontId="4" fillId="6" borderId="5" xfId="0" applyFont="1" applyFill="1" applyBorder="1" applyAlignment="1" applyProtection="1">
      <alignment horizontal="left" vertical="top" indent="1"/>
    </xf>
    <xf numFmtId="0" fontId="4" fillId="2" borderId="0" xfId="0" applyFont="1" applyFill="1" applyBorder="1" applyAlignment="1" applyProtection="1">
      <alignment horizontal="left" indent="1"/>
    </xf>
    <xf numFmtId="0" fontId="5" fillId="2" borderId="0" xfId="0" applyFont="1" applyFill="1" applyBorder="1" applyAlignment="1" applyProtection="1">
      <alignment horizontal="center" vertical="center"/>
    </xf>
    <xf numFmtId="0" fontId="4" fillId="2" borderId="0" xfId="0" applyFont="1" applyFill="1" applyBorder="1" applyAlignment="1" applyProtection="1"/>
    <xf numFmtId="0" fontId="5" fillId="2" borderId="0" xfId="0" applyFont="1" applyFill="1" applyBorder="1" applyAlignment="1" applyProtection="1">
      <alignment horizontal="left" vertical="top"/>
    </xf>
    <xf numFmtId="0" fontId="10" fillId="2" borderId="0" xfId="0" applyFont="1" applyFill="1" applyBorder="1" applyProtection="1"/>
    <xf numFmtId="0" fontId="8" fillId="3"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12" fillId="7" borderId="3" xfId="2" applyBorder="1" applyAlignment="1" applyProtection="1">
      <alignment horizontal="center" vertical="center"/>
    </xf>
    <xf numFmtId="0" fontId="12" fillId="7" borderId="8" xfId="2" applyBorder="1"/>
    <xf numFmtId="0" fontId="12" fillId="7" borderId="1" xfId="2" applyBorder="1"/>
    <xf numFmtId="0" fontId="12" fillId="7" borderId="11" xfId="2" applyBorder="1"/>
    <xf numFmtId="0" fontId="12" fillId="7" borderId="1" xfId="2" applyBorder="1" applyAlignment="1">
      <alignment horizontal="left" vertical="center" wrapText="1"/>
    </xf>
    <xf numFmtId="0" fontId="12" fillId="7" borderId="1" xfId="2" applyBorder="1" applyAlignment="1">
      <alignment horizontal="center"/>
    </xf>
    <xf numFmtId="0" fontId="2" fillId="0" borderId="1" xfId="0" applyFont="1" applyFill="1" applyBorder="1" applyAlignment="1">
      <alignment horizontal="center" vertical="center"/>
    </xf>
    <xf numFmtId="0" fontId="11" fillId="0" borderId="0" xfId="0" applyFont="1" applyFill="1" applyAlignment="1" applyProtection="1">
      <alignment horizontal="center" vertical="center"/>
    </xf>
    <xf numFmtId="0" fontId="9" fillId="0" borderId="0" xfId="0" applyFont="1" applyProtection="1"/>
    <xf numFmtId="0" fontId="3" fillId="10" borderId="6" xfId="0" applyFont="1" applyFill="1" applyBorder="1" applyAlignment="1">
      <alignment horizontal="center" vertical="center"/>
    </xf>
    <xf numFmtId="0" fontId="3" fillId="10" borderId="1" xfId="0" applyFont="1" applyFill="1" applyBorder="1" applyAlignment="1">
      <alignment horizontal="left" vertical="center"/>
    </xf>
    <xf numFmtId="0" fontId="12" fillId="7" borderId="1" xfId="2" applyBorder="1" applyAlignment="1" applyProtection="1">
      <protection hidden="1"/>
    </xf>
    <xf numFmtId="164" fontId="4" fillId="11" borderId="3" xfId="0" applyNumberFormat="1" applyFont="1" applyFill="1" applyBorder="1" applyAlignment="1" applyProtection="1">
      <alignment horizontal="left" vertical="top" wrapText="1"/>
    </xf>
    <xf numFmtId="0" fontId="4" fillId="11" borderId="3" xfId="0" applyFont="1" applyFill="1" applyBorder="1" applyAlignment="1" applyProtection="1">
      <alignment horizontal="left" vertical="top"/>
    </xf>
    <xf numFmtId="0" fontId="4" fillId="11" borderId="3" xfId="0" applyFont="1" applyFill="1" applyBorder="1" applyAlignment="1" applyProtection="1">
      <alignment horizontal="left"/>
    </xf>
    <xf numFmtId="164" fontId="0" fillId="11" borderId="3" xfId="0" applyNumberFormat="1" applyFont="1" applyFill="1" applyBorder="1" applyAlignment="1" applyProtection="1">
      <alignment horizontal="left" vertical="top" wrapText="1"/>
    </xf>
    <xf numFmtId="164" fontId="0" fillId="11" borderId="3" xfId="0" applyNumberFormat="1" applyFont="1" applyFill="1" applyBorder="1" applyAlignment="1" applyProtection="1">
      <alignment horizontal="center" vertical="center" wrapText="1"/>
    </xf>
    <xf numFmtId="0" fontId="0" fillId="11" borderId="3" xfId="0" applyFont="1" applyFill="1" applyBorder="1" applyAlignment="1" applyProtection="1">
      <alignment horizontal="left"/>
    </xf>
    <xf numFmtId="0" fontId="0" fillId="11" borderId="3" xfId="0" applyFont="1" applyFill="1" applyBorder="1" applyAlignment="1" applyProtection="1">
      <alignment horizontal="left" vertical="top"/>
    </xf>
    <xf numFmtId="164" fontId="0" fillId="11" borderId="3" xfId="0" applyNumberFormat="1" applyFont="1" applyFill="1" applyBorder="1" applyAlignment="1" applyProtection="1">
      <alignment horizontal="center" vertical="center"/>
    </xf>
    <xf numFmtId="0" fontId="0" fillId="11" borderId="3" xfId="0" applyFont="1" applyFill="1" applyBorder="1" applyAlignment="1" applyProtection="1">
      <alignment horizontal="center" vertical="center"/>
    </xf>
    <xf numFmtId="0" fontId="9" fillId="7" borderId="4" xfId="2" applyFont="1" applyBorder="1" applyAlignment="1" applyProtection="1">
      <alignment horizontal="center" vertical="center"/>
    </xf>
    <xf numFmtId="0" fontId="9" fillId="7" borderId="12" xfId="2" applyFont="1" applyBorder="1" applyAlignment="1" applyProtection="1">
      <alignment horizontal="center" vertical="center"/>
    </xf>
    <xf numFmtId="0" fontId="0" fillId="0" borderId="19" xfId="0" applyFont="1" applyFill="1" applyBorder="1" applyAlignment="1" applyProtection="1">
      <alignment horizontal="center" vertical="center"/>
      <protection locked="0"/>
    </xf>
    <xf numFmtId="0" fontId="0" fillId="11" borderId="19" xfId="0" applyFont="1" applyFill="1" applyBorder="1" applyAlignment="1" applyProtection="1">
      <alignment horizontal="center" vertical="center"/>
    </xf>
    <xf numFmtId="0" fontId="5" fillId="0" borderId="0" xfId="0" applyFont="1" applyFill="1" applyProtection="1"/>
    <xf numFmtId="49" fontId="5" fillId="0" borderId="2"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wrapText="1"/>
    </xf>
    <xf numFmtId="49" fontId="10" fillId="3" borderId="6" xfId="0" applyNumberFormat="1" applyFont="1" applyFill="1" applyBorder="1" applyAlignment="1" applyProtection="1">
      <alignment horizontal="center" vertical="center"/>
    </xf>
    <xf numFmtId="49" fontId="4" fillId="0" borderId="0" xfId="0" applyNumberFormat="1" applyFont="1" applyFill="1" applyProtection="1"/>
    <xf numFmtId="0" fontId="4" fillId="2" borderId="26" xfId="0" applyFont="1" applyFill="1" applyBorder="1" applyAlignment="1" applyProtection="1">
      <alignment horizontal="left" vertical="top"/>
    </xf>
    <xf numFmtId="0" fontId="11" fillId="2" borderId="26" xfId="0" applyFont="1" applyFill="1" applyBorder="1" applyAlignment="1" applyProtection="1">
      <alignment horizontal="left" vertical="top"/>
    </xf>
    <xf numFmtId="0" fontId="5" fillId="2" borderId="26" xfId="0" applyFont="1" applyFill="1" applyBorder="1" applyAlignment="1" applyProtection="1">
      <alignment horizontal="left" vertical="top"/>
    </xf>
    <xf numFmtId="0" fontId="4" fillId="2" borderId="26" xfId="0" applyFont="1" applyFill="1" applyBorder="1" applyAlignment="1" applyProtection="1">
      <alignment vertical="top"/>
    </xf>
    <xf numFmtId="0" fontId="4" fillId="2" borderId="27" xfId="0" applyFont="1" applyFill="1" applyBorder="1" applyAlignment="1" applyProtection="1">
      <alignment horizontal="left" vertical="top"/>
    </xf>
    <xf numFmtId="49" fontId="10" fillId="3" borderId="0" xfId="0" applyNumberFormat="1" applyFont="1" applyFill="1" applyBorder="1" applyAlignment="1" applyProtection="1">
      <alignment horizontal="center" vertical="center"/>
    </xf>
    <xf numFmtId="0" fontId="4" fillId="2" borderId="29" xfId="0" applyFont="1" applyFill="1" applyBorder="1" applyAlignment="1" applyProtection="1">
      <alignment horizontal="left" vertical="top"/>
    </xf>
    <xf numFmtId="0" fontId="7" fillId="2" borderId="29" xfId="1" applyFont="1" applyFill="1" applyBorder="1" applyAlignment="1" applyProtection="1">
      <alignment vertical="center"/>
    </xf>
    <xf numFmtId="0" fontId="13" fillId="2" borderId="0" xfId="0" applyFont="1" applyFill="1" applyBorder="1" applyAlignment="1" applyProtection="1">
      <alignment horizontal="left" vertical="top"/>
    </xf>
    <xf numFmtId="0" fontId="4" fillId="2" borderId="31" xfId="0" applyFont="1" applyFill="1" applyBorder="1" applyAlignment="1" applyProtection="1">
      <alignment horizontal="left" vertical="top"/>
    </xf>
    <xf numFmtId="0" fontId="5" fillId="2" borderId="31" xfId="0" applyFont="1" applyFill="1" applyBorder="1" applyAlignment="1" applyProtection="1">
      <alignment horizontal="left" vertical="top"/>
    </xf>
    <xf numFmtId="0" fontId="4" fillId="2" borderId="32" xfId="0" applyFont="1" applyFill="1" applyBorder="1" applyAlignment="1" applyProtection="1">
      <alignment horizontal="left" vertical="top"/>
    </xf>
    <xf numFmtId="0" fontId="16" fillId="2" borderId="26" xfId="2" applyFont="1" applyFill="1" applyBorder="1" applyAlignment="1" applyProtection="1">
      <alignment vertical="center"/>
    </xf>
    <xf numFmtId="0" fontId="12" fillId="2" borderId="26" xfId="2" applyFill="1" applyBorder="1" applyAlignment="1" applyProtection="1">
      <alignment horizontal="left" vertical="top"/>
    </xf>
    <xf numFmtId="0" fontId="5" fillId="12" borderId="28" xfId="0" applyNumberFormat="1" applyFont="1" applyFill="1" applyBorder="1" applyAlignment="1" applyProtection="1">
      <alignment horizontal="left" vertical="top" wrapText="1"/>
    </xf>
    <xf numFmtId="0" fontId="5" fillId="12" borderId="0" xfId="0" applyFont="1" applyFill="1" applyBorder="1" applyAlignment="1" applyProtection="1">
      <alignment horizontal="left" vertical="top"/>
    </xf>
    <xf numFmtId="0" fontId="4" fillId="12" borderId="0" xfId="0" applyFont="1" applyFill="1" applyBorder="1" applyProtection="1"/>
    <xf numFmtId="0" fontId="17" fillId="12" borderId="0" xfId="0" applyFont="1" applyFill="1" applyBorder="1" applyAlignment="1" applyProtection="1">
      <alignment horizontal="left" vertical="top"/>
    </xf>
    <xf numFmtId="0" fontId="20" fillId="12" borderId="0" xfId="2" applyFont="1" applyFill="1" applyBorder="1" applyAlignment="1" applyProtection="1">
      <alignment horizontal="left" vertical="top"/>
    </xf>
    <xf numFmtId="0" fontId="5" fillId="12" borderId="0" xfId="0" applyFont="1" applyFill="1" applyBorder="1" applyAlignment="1" applyProtection="1">
      <alignment vertical="top"/>
    </xf>
    <xf numFmtId="0" fontId="5" fillId="12" borderId="29" xfId="0" applyFont="1" applyFill="1" applyBorder="1" applyAlignment="1" applyProtection="1">
      <alignment horizontal="left" vertical="top"/>
    </xf>
    <xf numFmtId="0" fontId="5" fillId="12" borderId="11" xfId="0" applyFont="1" applyFill="1" applyBorder="1" applyAlignment="1" applyProtection="1">
      <alignment horizontal="center" vertical="center"/>
    </xf>
    <xf numFmtId="0" fontId="5" fillId="12" borderId="11" xfId="0" applyFont="1" applyFill="1" applyBorder="1" applyAlignment="1" applyProtection="1">
      <alignment horizontal="center" vertical="center" wrapText="1"/>
    </xf>
    <xf numFmtId="0" fontId="4" fillId="12" borderId="0" xfId="0" applyFont="1" applyFill="1" applyBorder="1" applyAlignment="1" applyProtection="1">
      <alignment horizontal="left" vertical="top"/>
    </xf>
    <xf numFmtId="0" fontId="4" fillId="12" borderId="29" xfId="0" applyFont="1" applyFill="1" applyBorder="1" applyAlignment="1" applyProtection="1">
      <alignment horizontal="left" vertical="top"/>
    </xf>
    <xf numFmtId="0" fontId="4" fillId="12" borderId="25" xfId="0" applyNumberFormat="1" applyFont="1" applyFill="1" applyBorder="1" applyAlignment="1" applyProtection="1">
      <alignment horizontal="left" vertical="top" wrapText="1"/>
    </xf>
    <xf numFmtId="49" fontId="5" fillId="12" borderId="28" xfId="0" applyNumberFormat="1" applyFont="1" applyFill="1" applyBorder="1" applyAlignment="1" applyProtection="1">
      <alignment horizontal="left" vertical="top" wrapText="1"/>
    </xf>
    <xf numFmtId="0" fontId="4" fillId="12" borderId="28" xfId="0" applyNumberFormat="1" applyFont="1" applyFill="1" applyBorder="1" applyAlignment="1" applyProtection="1">
      <alignment horizontal="left" vertical="top" wrapText="1"/>
    </xf>
    <xf numFmtId="0" fontId="4" fillId="12" borderId="28" xfId="0" applyNumberFormat="1" applyFont="1" applyFill="1" applyBorder="1" applyAlignment="1" applyProtection="1">
      <alignment horizontal="left" vertical="top"/>
    </xf>
    <xf numFmtId="0" fontId="4" fillId="12" borderId="30" xfId="0" applyFont="1" applyFill="1" applyBorder="1" applyAlignment="1" applyProtection="1">
      <alignment horizontal="left" vertical="top"/>
    </xf>
    <xf numFmtId="0" fontId="4" fillId="12" borderId="0" xfId="0" applyFont="1" applyFill="1" applyBorder="1" applyAlignment="1" applyProtection="1">
      <alignment horizontal="left"/>
    </xf>
    <xf numFmtId="0" fontId="17" fillId="12" borderId="0" xfId="0" applyFont="1" applyFill="1" applyBorder="1" applyAlignment="1" applyProtection="1">
      <alignment horizontal="center" vertical="center"/>
    </xf>
    <xf numFmtId="0" fontId="18" fillId="12" borderId="12" xfId="2" applyFont="1" applyFill="1" applyBorder="1" applyAlignment="1" applyProtection="1">
      <alignment horizontal="center" vertical="center"/>
    </xf>
    <xf numFmtId="0" fontId="4" fillId="12" borderId="31" xfId="0" applyFont="1" applyFill="1" applyBorder="1" applyAlignment="1" applyProtection="1">
      <alignment horizontal="left" vertical="top"/>
    </xf>
    <xf numFmtId="0" fontId="11" fillId="12" borderId="31" xfId="0" applyFont="1" applyFill="1" applyBorder="1" applyAlignment="1" applyProtection="1">
      <alignment horizontal="left" vertical="top"/>
    </xf>
    <xf numFmtId="0" fontId="16" fillId="12" borderId="33" xfId="2" applyFont="1" applyFill="1" applyBorder="1" applyAlignment="1" applyProtection="1">
      <alignment horizontal="center" vertical="center"/>
    </xf>
    <xf numFmtId="0" fontId="5" fillId="12" borderId="0" xfId="0" applyNumberFormat="1" applyFont="1" applyFill="1" applyBorder="1" applyAlignment="1" applyProtection="1">
      <alignment horizontal="left" vertical="top"/>
    </xf>
    <xf numFmtId="49" fontId="4" fillId="12" borderId="0" xfId="0" applyNumberFormat="1" applyFont="1" applyFill="1" applyBorder="1" applyProtection="1"/>
    <xf numFmtId="0" fontId="4" fillId="12" borderId="0" xfId="0" applyFont="1" applyFill="1" applyBorder="1" applyAlignment="1" applyProtection="1">
      <alignment horizontal="center" vertical="center"/>
    </xf>
    <xf numFmtId="49" fontId="5" fillId="12" borderId="29" xfId="0" applyNumberFormat="1" applyFont="1" applyFill="1" applyBorder="1" applyAlignment="1" applyProtection="1">
      <alignment horizontal="left" vertical="top"/>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5" fillId="1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11" borderId="34" xfId="0" applyFont="1" applyFill="1" applyBorder="1" applyAlignment="1" applyProtection="1">
      <alignment horizontal="left" vertical="top"/>
    </xf>
    <xf numFmtId="0" fontId="4" fillId="11" borderId="34" xfId="0" applyFont="1" applyFill="1" applyBorder="1" applyAlignment="1" applyProtection="1">
      <alignment horizontal="left"/>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9" fillId="7" borderId="35" xfId="2" applyFont="1" applyBorder="1" applyAlignment="1" applyProtection="1">
      <alignment horizontal="center" vertical="center"/>
    </xf>
    <xf numFmtId="0" fontId="5" fillId="12" borderId="26" xfId="0" applyFont="1" applyFill="1" applyBorder="1" applyAlignment="1" applyProtection="1">
      <alignment horizontal="left" vertical="top"/>
    </xf>
    <xf numFmtId="0" fontId="4" fillId="12" borderId="26" xfId="0" applyFont="1" applyFill="1" applyBorder="1" applyProtection="1"/>
    <xf numFmtId="0" fontId="4" fillId="12" borderId="26" xfId="0" applyFont="1" applyFill="1" applyBorder="1" applyAlignment="1" applyProtection="1">
      <alignment horizontal="left" indent="1"/>
    </xf>
    <xf numFmtId="0" fontId="5" fillId="12" borderId="38" xfId="0" applyFont="1" applyFill="1" applyBorder="1" applyAlignment="1" applyProtection="1">
      <alignment horizontal="center" vertical="center"/>
    </xf>
    <xf numFmtId="0" fontId="5" fillId="12" borderId="38" xfId="0" applyFont="1" applyFill="1" applyBorder="1" applyAlignment="1" applyProtection="1">
      <alignment horizontal="center" vertical="center" wrapText="1"/>
    </xf>
    <xf numFmtId="0" fontId="4" fillId="12" borderId="26" xfId="0" applyFont="1" applyFill="1" applyBorder="1" applyAlignment="1" applyProtection="1">
      <alignment horizontal="left" vertical="top"/>
    </xf>
    <xf numFmtId="0" fontId="4" fillId="12" borderId="27" xfId="0" applyFont="1" applyFill="1" applyBorder="1" applyAlignment="1" applyProtection="1">
      <alignment horizontal="left" vertical="top"/>
    </xf>
    <xf numFmtId="0" fontId="4" fillId="11" borderId="39" xfId="0" applyFont="1" applyFill="1" applyBorder="1" applyAlignment="1" applyProtection="1">
      <alignment horizontal="left" vertical="top"/>
    </xf>
    <xf numFmtId="0" fontId="4" fillId="11" borderId="39" xfId="0" applyFont="1" applyFill="1" applyBorder="1" applyAlignment="1" applyProtection="1">
      <alignment horizontal="left"/>
    </xf>
    <xf numFmtId="0" fontId="4" fillId="0" borderId="39"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9" fillId="7" borderId="33" xfId="2" applyFont="1" applyBorder="1" applyAlignment="1" applyProtection="1">
      <alignment horizontal="center" vertical="center"/>
    </xf>
    <xf numFmtId="0" fontId="5" fillId="12" borderId="31" xfId="0" applyFont="1" applyFill="1" applyBorder="1" applyAlignment="1" applyProtection="1">
      <alignment horizontal="left" vertical="top"/>
    </xf>
    <xf numFmtId="0" fontId="4" fillId="12" borderId="31" xfId="0" applyFont="1" applyFill="1" applyBorder="1" applyProtection="1"/>
    <xf numFmtId="0" fontId="4" fillId="12" borderId="31" xfId="0" applyFont="1" applyFill="1" applyBorder="1" applyAlignment="1" applyProtection="1">
      <alignment horizontal="left" indent="1"/>
    </xf>
    <xf numFmtId="0" fontId="4" fillId="12" borderId="32" xfId="0" applyFont="1" applyFill="1" applyBorder="1" applyAlignment="1" applyProtection="1">
      <alignment horizontal="left" vertical="top"/>
    </xf>
    <xf numFmtId="164" fontId="4" fillId="11" borderId="34" xfId="0" applyNumberFormat="1" applyFont="1" applyFill="1" applyBorder="1" applyAlignment="1" applyProtection="1">
      <alignment horizontal="left" vertical="top" wrapText="1"/>
    </xf>
    <xf numFmtId="0" fontId="4" fillId="12" borderId="30" xfId="0" applyNumberFormat="1" applyFont="1" applyFill="1" applyBorder="1" applyAlignment="1" applyProtection="1">
      <alignment horizontal="left" vertical="top" wrapText="1"/>
    </xf>
    <xf numFmtId="164" fontId="4" fillId="11" borderId="39" xfId="0" applyNumberFormat="1" applyFont="1" applyFill="1" applyBorder="1" applyAlignment="1" applyProtection="1">
      <alignment horizontal="left" vertical="top" wrapText="1"/>
    </xf>
    <xf numFmtId="0" fontId="4" fillId="12" borderId="32" xfId="0" applyFont="1" applyFill="1" applyBorder="1" applyProtection="1"/>
    <xf numFmtId="0" fontId="7" fillId="12" borderId="32" xfId="1" applyFont="1" applyFill="1" applyBorder="1" applyAlignment="1" applyProtection="1">
      <alignment vertical="center"/>
    </xf>
    <xf numFmtId="0" fontId="18" fillId="12" borderId="13" xfId="2" applyFont="1" applyFill="1" applyBorder="1" applyAlignment="1" applyProtection="1">
      <alignment horizontal="center" vertical="center"/>
    </xf>
    <xf numFmtId="0" fontId="4" fillId="2" borderId="31" xfId="0" applyFont="1" applyFill="1" applyBorder="1" applyProtection="1"/>
    <xf numFmtId="0" fontId="4" fillId="2" borderId="31" xfId="0" applyFont="1" applyFill="1" applyBorder="1" applyAlignment="1" applyProtection="1">
      <alignment horizontal="left" indent="1"/>
    </xf>
    <xf numFmtId="0" fontId="5" fillId="2" borderId="11" xfId="0" applyFont="1" applyFill="1" applyBorder="1" applyAlignment="1" applyProtection="1">
      <alignment horizontal="center" vertical="center"/>
    </xf>
    <xf numFmtId="0" fontId="5" fillId="2" borderId="11" xfId="0" applyFont="1" applyFill="1" applyBorder="1" applyAlignment="1" applyProtection="1">
      <alignment horizontal="center" vertical="center" wrapText="1"/>
    </xf>
    <xf numFmtId="0" fontId="7" fillId="2" borderId="32" xfId="1" applyFont="1" applyFill="1" applyBorder="1" applyAlignment="1" applyProtection="1">
      <alignment vertical="center"/>
    </xf>
    <xf numFmtId="0" fontId="10" fillId="2" borderId="0" xfId="0" applyNumberFormat="1" applyFont="1" applyFill="1" applyBorder="1" applyAlignment="1" applyProtection="1">
      <alignment horizontal="center" vertical="center"/>
    </xf>
    <xf numFmtId="0" fontId="10" fillId="2" borderId="0" xfId="2"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0" fillId="2" borderId="26" xfId="2"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12" fillId="7" borderId="26" xfId="2" applyBorder="1" applyAlignment="1" applyProtection="1">
      <alignment horizontal="left" vertical="top"/>
    </xf>
    <xf numFmtId="0" fontId="12" fillId="7" borderId="8" xfId="2" applyBorder="1" applyAlignment="1" applyProtection="1">
      <alignment horizontal="left" vertical="top"/>
    </xf>
    <xf numFmtId="0" fontId="12" fillId="7" borderId="0" xfId="2" applyBorder="1" applyAlignment="1" applyProtection="1">
      <alignment horizontal="left" vertical="top"/>
    </xf>
    <xf numFmtId="0" fontId="12" fillId="7" borderId="1" xfId="2" applyBorder="1" applyAlignment="1" applyProtection="1">
      <alignment horizontal="left" vertical="top"/>
    </xf>
    <xf numFmtId="0" fontId="12" fillId="7" borderId="31" xfId="2" applyBorder="1" applyAlignment="1" applyProtection="1">
      <alignment horizontal="left" vertical="top"/>
    </xf>
    <xf numFmtId="0" fontId="12" fillId="7" borderId="11" xfId="2" applyBorder="1" applyAlignment="1" applyProtection="1">
      <alignment horizontal="left" vertical="top"/>
    </xf>
    <xf numFmtId="0" fontId="12" fillId="7" borderId="19" xfId="2" applyBorder="1" applyAlignment="1" applyProtection="1">
      <alignment horizontal="center" vertical="center"/>
    </xf>
    <xf numFmtId="0" fontId="12" fillId="7" borderId="1" xfId="2" applyBorder="1" applyAlignment="1" applyProtection="1">
      <alignment horizontal="center" vertical="center"/>
    </xf>
    <xf numFmtId="0" fontId="12" fillId="7" borderId="1" xfId="2" applyBorder="1" applyAlignment="1" applyProtection="1">
      <alignment horizontal="center" vertical="center" wrapText="1"/>
      <protection locked="0"/>
    </xf>
    <xf numFmtId="0" fontId="0" fillId="2" borderId="25" xfId="0" applyFont="1" applyFill="1" applyBorder="1" applyProtection="1"/>
    <xf numFmtId="0" fontId="0" fillId="2" borderId="26" xfId="0" applyFont="1" applyFill="1" applyBorder="1" applyAlignment="1" applyProtection="1"/>
    <xf numFmtId="0" fontId="0" fillId="2" borderId="26" xfId="0" applyFont="1" applyFill="1" applyBorder="1" applyProtection="1"/>
    <xf numFmtId="0" fontId="0" fillId="2" borderId="26" xfId="0" applyFont="1" applyFill="1" applyBorder="1" applyAlignment="1" applyProtection="1">
      <alignment horizontal="center" vertical="center"/>
    </xf>
    <xf numFmtId="0" fontId="9" fillId="2" borderId="26" xfId="0" applyFont="1" applyFill="1" applyBorder="1" applyProtection="1"/>
    <xf numFmtId="0" fontId="0" fillId="2" borderId="27" xfId="0" applyFont="1" applyFill="1" applyBorder="1" applyProtection="1"/>
    <xf numFmtId="0" fontId="0" fillId="2" borderId="28" xfId="0" applyFont="1" applyFill="1" applyBorder="1" applyProtection="1"/>
    <xf numFmtId="0" fontId="0" fillId="2" borderId="29" xfId="0" applyFont="1" applyFill="1" applyBorder="1" applyProtection="1"/>
    <xf numFmtId="0" fontId="19" fillId="11" borderId="18" xfId="4" applyFont="1" applyFill="1" applyBorder="1" applyAlignment="1" applyProtection="1">
      <alignment horizontal="center" vertical="center"/>
    </xf>
    <xf numFmtId="0" fontId="0" fillId="2" borderId="30" xfId="0" applyFont="1" applyFill="1" applyBorder="1" applyProtection="1"/>
    <xf numFmtId="0" fontId="0" fillId="2" borderId="31" xfId="0" applyFont="1" applyFill="1" applyBorder="1" applyProtection="1"/>
    <xf numFmtId="0" fontId="0" fillId="2" borderId="32" xfId="0" applyFont="1" applyFill="1" applyBorder="1" applyProtection="1"/>
    <xf numFmtId="0" fontId="4" fillId="2" borderId="0" xfId="0" applyFont="1" applyFill="1" applyBorder="1" applyAlignment="1" applyProtection="1">
      <alignment horizontal="right" vertical="top"/>
    </xf>
    <xf numFmtId="0" fontId="22" fillId="0" borderId="0" xfId="0" applyFont="1" applyAlignment="1">
      <alignment vertical="center" wrapText="1"/>
    </xf>
    <xf numFmtId="0" fontId="23" fillId="0" borderId="0" xfId="0" applyNumberFormat="1" applyFont="1" applyFill="1" applyAlignment="1" applyProtection="1">
      <alignment horizontal="left" vertical="top"/>
    </xf>
    <xf numFmtId="0" fontId="23" fillId="0" borderId="0" xfId="0" applyFont="1" applyFill="1" applyAlignment="1" applyProtection="1">
      <alignment horizontal="left" vertical="top"/>
    </xf>
    <xf numFmtId="0" fontId="23" fillId="0" borderId="0" xfId="0" applyNumberFormat="1" applyFont="1" applyFill="1" applyAlignment="1" applyProtection="1">
      <alignment horizontal="left" vertical="top" wrapText="1"/>
    </xf>
    <xf numFmtId="0" fontId="24" fillId="12" borderId="28" xfId="0" applyNumberFormat="1" applyFont="1" applyFill="1" applyBorder="1" applyAlignment="1" applyProtection="1">
      <alignment horizontal="left" vertical="top" wrapText="1"/>
    </xf>
    <xf numFmtId="0" fontId="27" fillId="3" borderId="22" xfId="0" applyFont="1" applyFill="1" applyBorder="1" applyAlignment="1" applyProtection="1">
      <alignment vertical="center"/>
    </xf>
    <xf numFmtId="0" fontId="28" fillId="3" borderId="22" xfId="0" applyFont="1" applyFill="1" applyBorder="1" applyProtection="1"/>
    <xf numFmtId="0" fontId="24" fillId="12" borderId="29" xfId="0" applyFont="1" applyFill="1" applyBorder="1" applyAlignment="1" applyProtection="1">
      <alignment horizontal="left" vertical="top"/>
    </xf>
    <xf numFmtId="0" fontId="24" fillId="0" borderId="0" xfId="0" applyFont="1" applyFill="1" applyProtection="1"/>
    <xf numFmtId="0" fontId="26" fillId="3" borderId="22" xfId="0" applyFont="1" applyFill="1" applyBorder="1" applyAlignment="1" applyProtection="1">
      <alignment vertical="center"/>
    </xf>
    <xf numFmtId="0" fontId="26" fillId="3" borderId="22" xfId="0" applyFont="1" applyFill="1" applyBorder="1" applyAlignment="1" applyProtection="1">
      <alignment horizontal="right" vertical="top"/>
    </xf>
    <xf numFmtId="0" fontId="29" fillId="0" borderId="0" xfId="0" applyFont="1" applyFill="1" applyProtection="1"/>
    <xf numFmtId="0" fontId="26" fillId="3" borderId="23" xfId="3" applyFont="1" applyFill="1" applyBorder="1" applyAlignment="1" applyProtection="1">
      <alignment horizontal="center"/>
      <protection locked="0"/>
    </xf>
    <xf numFmtId="0" fontId="26" fillId="3" borderId="24" xfId="3" applyFont="1" applyFill="1" applyBorder="1" applyAlignment="1" applyProtection="1">
      <alignment horizontal="center"/>
      <protection locked="0"/>
    </xf>
    <xf numFmtId="0" fontId="26" fillId="3" borderId="22" xfId="0" applyFont="1" applyFill="1" applyBorder="1" applyAlignment="1" applyProtection="1">
      <alignment horizontal="center"/>
    </xf>
    <xf numFmtId="0" fontId="5" fillId="12" borderId="15" xfId="0" applyFont="1" applyFill="1" applyBorder="1" applyAlignment="1" applyProtection="1">
      <alignment horizontal="center" vertical="top"/>
    </xf>
    <xf numFmtId="0" fontId="5" fillId="12" borderId="16" xfId="0" applyFont="1" applyFill="1" applyBorder="1" applyAlignment="1" applyProtection="1">
      <alignment horizontal="center" vertical="top"/>
    </xf>
    <xf numFmtId="0" fontId="5" fillId="12" borderId="17" xfId="0" applyFont="1" applyFill="1" applyBorder="1" applyAlignment="1" applyProtection="1">
      <alignment horizontal="center" vertical="top"/>
    </xf>
    <xf numFmtId="0" fontId="26" fillId="5" borderId="23" xfId="0" applyFont="1" applyFill="1" applyBorder="1" applyAlignment="1" applyProtection="1">
      <alignment horizontal="center"/>
    </xf>
    <xf numFmtId="0" fontId="26" fillId="5" borderId="22" xfId="0" applyFont="1" applyFill="1" applyBorder="1" applyAlignment="1" applyProtection="1">
      <alignment horizontal="center"/>
    </xf>
    <xf numFmtId="0" fontId="5" fillId="12" borderId="23" xfId="0" applyFont="1" applyFill="1" applyBorder="1" applyAlignment="1" applyProtection="1">
      <alignment horizontal="center" vertical="top"/>
    </xf>
    <xf numFmtId="0" fontId="5" fillId="12" borderId="22" xfId="0" applyFont="1" applyFill="1" applyBorder="1" applyAlignment="1" applyProtection="1">
      <alignment horizontal="center" vertical="top"/>
    </xf>
    <xf numFmtId="0" fontId="5" fillId="12" borderId="21" xfId="0" applyFont="1" applyFill="1" applyBorder="1" applyAlignment="1" applyProtection="1">
      <alignment horizontal="center" vertical="top"/>
    </xf>
    <xf numFmtId="0" fontId="10" fillId="12" borderId="0" xfId="0" applyFont="1" applyFill="1" applyBorder="1" applyAlignment="1" applyProtection="1">
      <alignment horizontal="center" vertical="top"/>
    </xf>
    <xf numFmtId="0" fontId="21" fillId="10" borderId="36" xfId="0" applyFont="1" applyFill="1" applyBorder="1" applyAlignment="1" applyProtection="1">
      <alignment horizontal="center" vertical="center"/>
    </xf>
    <xf numFmtId="0" fontId="21" fillId="10" borderId="37" xfId="0" applyFont="1" applyFill="1" applyBorder="1" applyAlignment="1" applyProtection="1">
      <alignment horizontal="center" vertical="center"/>
    </xf>
    <xf numFmtId="0" fontId="21" fillId="10" borderId="13" xfId="0" applyFont="1" applyFill="1" applyBorder="1" applyAlignment="1" applyProtection="1">
      <alignment horizontal="center" vertical="center"/>
    </xf>
    <xf numFmtId="0" fontId="21" fillId="10" borderId="14" xfId="0" applyFont="1" applyFill="1" applyBorder="1" applyAlignment="1" applyProtection="1">
      <alignment horizontal="center" vertical="center"/>
    </xf>
    <xf numFmtId="0" fontId="21" fillId="10" borderId="40" xfId="0" applyFont="1" applyFill="1" applyBorder="1" applyAlignment="1" applyProtection="1">
      <alignment horizontal="center" vertical="center"/>
    </xf>
    <xf numFmtId="0" fontId="21" fillId="10" borderId="41" xfId="0" applyFont="1" applyFill="1" applyBorder="1" applyAlignment="1" applyProtection="1">
      <alignment horizontal="center" vertical="center"/>
    </xf>
    <xf numFmtId="0" fontId="5" fillId="2" borderId="15" xfId="0" applyFont="1" applyFill="1" applyBorder="1" applyAlignment="1" applyProtection="1">
      <alignment horizontal="center" vertical="top"/>
    </xf>
    <xf numFmtId="0" fontId="5" fillId="2" borderId="16" xfId="0" applyFont="1" applyFill="1" applyBorder="1" applyAlignment="1" applyProtection="1">
      <alignment horizontal="center" vertical="top"/>
    </xf>
    <xf numFmtId="0" fontId="5" fillId="2" borderId="17" xfId="0" applyFont="1" applyFill="1" applyBorder="1" applyAlignment="1" applyProtection="1">
      <alignment horizontal="center" vertical="top"/>
    </xf>
    <xf numFmtId="0" fontId="4" fillId="5" borderId="0" xfId="0" applyNumberFormat="1" applyFont="1" applyFill="1" applyAlignment="1" applyProtection="1">
      <alignment horizontal="center" vertical="top"/>
    </xf>
    <xf numFmtId="0" fontId="4" fillId="5" borderId="29" xfId="0" applyNumberFormat="1" applyFont="1" applyFill="1" applyBorder="1" applyAlignment="1" applyProtection="1">
      <alignment horizontal="center" vertical="top"/>
    </xf>
    <xf numFmtId="0" fontId="26" fillId="5" borderId="21" xfId="0" applyFont="1" applyFill="1" applyBorder="1" applyAlignment="1" applyProtection="1">
      <alignment horizontal="center"/>
    </xf>
    <xf numFmtId="0" fontId="25" fillId="8" borderId="20" xfId="3" applyFont="1" applyBorder="1" applyAlignment="1" applyProtection="1">
      <alignment horizontal="center" vertical="center"/>
      <protection locked="0"/>
    </xf>
    <xf numFmtId="0" fontId="25" fillId="8" borderId="21" xfId="3" applyFont="1" applyBorder="1" applyAlignment="1" applyProtection="1">
      <alignment horizontal="center" vertical="center"/>
      <protection locked="0"/>
    </xf>
    <xf numFmtId="0" fontId="10" fillId="2" borderId="0" xfId="0" applyNumberFormat="1" applyFont="1" applyFill="1" applyBorder="1" applyAlignment="1" applyProtection="1">
      <alignment horizontal="center" vertical="center"/>
    </xf>
    <xf numFmtId="0" fontId="28" fillId="13" borderId="38" xfId="3" applyFont="1" applyFill="1" applyBorder="1" applyAlignment="1" applyProtection="1">
      <alignment horizontal="center" vertical="center"/>
      <protection locked="0"/>
    </xf>
    <xf numFmtId="0" fontId="0" fillId="2" borderId="26" xfId="0" applyFont="1" applyFill="1" applyBorder="1" applyAlignment="1" applyProtection="1">
      <alignment horizontal="center"/>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4" fillId="8" borderId="1" xfId="3" applyBorder="1" applyAlignment="1" applyProtection="1">
      <alignment horizontal="center" vertical="center" wrapText="1"/>
      <protection locked="0"/>
    </xf>
  </cellXfs>
  <cellStyles count="5">
    <cellStyle name="Bad" xfId="2" builtinId="27"/>
    <cellStyle name="Check Cell" xfId="4" builtinId="23"/>
    <cellStyle name="Hyperlink" xfId="1" builtinId="8"/>
    <cellStyle name="Neutral" xfId="3" builtinId="28"/>
    <cellStyle name="Normal" xfId="0" builtinId="0"/>
  </cellStyles>
  <dxfs count="89">
    <dxf>
      <font>
        <color rgb="FF9C0006"/>
      </font>
      <fill>
        <patternFill>
          <bgColor rgb="FFFFC7CE"/>
        </patternFill>
      </fill>
    </dxf>
    <dxf>
      <fill>
        <patternFill>
          <bgColor theme="6"/>
        </patternFill>
      </fill>
    </dxf>
    <dxf>
      <fill>
        <patternFill>
          <bgColor rgb="FFFFFFCC"/>
        </patternFill>
      </fill>
    </dxf>
    <dxf>
      <fill>
        <patternFill>
          <bgColor rgb="FFFFFFCC"/>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dxf>
    <dxf>
      <font>
        <b/>
        <i val="0"/>
      </font>
    </dxf>
    <dxf>
      <fill>
        <patternFill>
          <bgColor theme="0" tint="-0.24994659260841701"/>
        </patternFill>
      </fill>
    </dxf>
    <dxf>
      <font>
        <b val="0"/>
        <i val="0"/>
        <strike val="0"/>
        <color auto="1"/>
      </font>
      <fill>
        <patternFill patternType="solid">
          <fgColor auto="1"/>
          <bgColor rgb="FF92D050"/>
        </patternFill>
      </fill>
      <border>
        <left style="thin">
          <color auto="1"/>
        </left>
        <right style="thin">
          <color auto="1"/>
        </right>
        <top style="thin">
          <color auto="1"/>
        </top>
        <bottom style="thin">
          <color auto="1"/>
        </bottom>
      </border>
    </dxf>
    <dxf>
      <font>
        <strike val="0"/>
      </font>
      <fill>
        <patternFill>
          <bgColor rgb="FFFFFFCC"/>
        </patternFill>
      </fill>
    </dxf>
    <dxf>
      <font>
        <b/>
        <i val="0"/>
        <color auto="1"/>
      </font>
    </dxf>
    <dxf>
      <font>
        <b/>
        <i val="0"/>
      </font>
    </dxf>
    <dxf>
      <font>
        <strike val="0"/>
      </font>
      <fill>
        <patternFill>
          <bgColor rgb="FFFFFFCC"/>
        </patternFill>
      </fill>
    </dxf>
    <dxf>
      <font>
        <b/>
        <i val="0"/>
        <color auto="1"/>
      </font>
    </dxf>
    <dxf>
      <font>
        <b/>
        <i val="0"/>
      </font>
    </dxf>
    <dxf>
      <font>
        <strike val="0"/>
      </font>
      <fill>
        <patternFill>
          <bgColor rgb="FFFFFFCC"/>
        </patternFill>
      </fill>
    </dxf>
    <dxf>
      <font>
        <b/>
        <i val="0"/>
        <color auto="1"/>
      </font>
    </dxf>
    <dxf>
      <font>
        <b/>
        <i val="0"/>
      </font>
    </dxf>
    <dxf>
      <fill>
        <patternFill>
          <bgColor theme="0"/>
        </patternFill>
      </fill>
    </dxf>
    <dxf>
      <font>
        <strike val="0"/>
      </font>
      <fill>
        <patternFill>
          <bgColor rgb="FFFFFFCC"/>
        </patternFill>
      </fill>
    </dxf>
    <dxf>
      <font>
        <b val="0"/>
        <i/>
        <color theme="0" tint="-0.24994659260841701"/>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8" tint="0.59996337778862885"/>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8" tint="0.59996337778862885"/>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theme="0" tint="-0.14996795556505021"/>
        </patternFill>
      </fill>
    </dxf>
    <dxf>
      <fill>
        <patternFill>
          <bgColor theme="0" tint="-0.34998626667073579"/>
        </patternFill>
      </fill>
    </dxf>
    <dxf>
      <fill>
        <patternFill>
          <bgColor theme="0" tint="-0.499984740745262"/>
        </patternFill>
      </fill>
    </dxf>
    <dxf>
      <fill>
        <patternFill>
          <bgColor rgb="FFFF0000"/>
        </patternFill>
      </fill>
    </dxf>
    <dxf>
      <fill>
        <patternFill>
          <bgColor rgb="FFFFFFCC"/>
        </patternFill>
      </fill>
    </dxf>
    <dxf>
      <font>
        <b/>
        <i val="0"/>
        <color auto="1"/>
      </font>
    </dxf>
    <dxf>
      <font>
        <b/>
        <i val="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FFCC"/>
      <color rgb="FF990033"/>
      <color rgb="FF0099FF"/>
      <color rgb="FFFFFF66"/>
      <color rgb="FFFF3300"/>
      <color rgb="FF99CCFF"/>
      <color rgb="FFFF9999"/>
      <color rgb="FF33CC33"/>
      <color rgb="FF66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excel.co.uk/shop?utm_source=xlsx&amp;utm_medium=baner&amp;utm_term=WC_&amp;utm_campaign=WC2018Upgrade"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1095376</xdr:colOff>
      <xdr:row>53</xdr:row>
      <xdr:rowOff>28575</xdr:rowOff>
    </xdr:from>
    <xdr:to>
      <xdr:col>64</xdr:col>
      <xdr:colOff>304050</xdr:colOff>
      <xdr:row>73</xdr:row>
      <xdr:rowOff>85275</xdr:rowOff>
    </xdr:to>
    <xdr:pic>
      <xdr:nvPicPr>
        <xdr:cNvPr id="3" name="Picture 2">
          <a:hlinkClick xmlns:r="http://schemas.openxmlformats.org/officeDocument/2006/relationships" r:id="rId1"/>
          <a:extLst>
            <a:ext uri="{FF2B5EF4-FFF2-40B4-BE49-F238E27FC236}">
              <a16:creationId xmlns:a16="http://schemas.microsoft.com/office/drawing/2014/main" id="{7C80BF2E-8743-4CBC-8300-12EEFBD080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29601" y="10163175"/>
          <a:ext cx="5999999" cy="36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247650</xdr:colOff>
      <xdr:row>8</xdr:row>
      <xdr:rowOff>104775</xdr:rowOff>
    </xdr:from>
    <xdr:to>
      <xdr:col>28</xdr:col>
      <xdr:colOff>572346</xdr:colOff>
      <xdr:row>27</xdr:row>
      <xdr:rowOff>144587</xdr:rowOff>
    </xdr:to>
    <xdr:sp macro="" textlink="">
      <xdr:nvSpPr>
        <xdr:cNvPr id="2" name="Rounded Rectangle 2">
          <a:extLst>
            <a:ext uri="{FF2B5EF4-FFF2-40B4-BE49-F238E27FC236}">
              <a16:creationId xmlns:a16="http://schemas.microsoft.com/office/drawing/2014/main" id="{73009C24-B6EC-4A17-A5CF-61B5F673D8CF}"/>
            </a:ext>
          </a:extLst>
        </xdr:cNvPr>
        <xdr:cNvSpPr/>
      </xdr:nvSpPr>
      <xdr:spPr>
        <a:xfrm>
          <a:off x="8229600" y="1828800"/>
          <a:ext cx="4410921" cy="40212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r>
            <a:rPr lang="en-GB" sz="1100" b="1">
              <a:solidFill>
                <a:schemeClr val="dk1"/>
              </a:solidFill>
              <a:effectLst/>
              <a:latin typeface="+mn-lt"/>
              <a:ea typeface="+mn-ea"/>
              <a:cs typeface="+mn-cs"/>
            </a:rPr>
            <a:t>Rules of game</a:t>
          </a:r>
          <a:br>
            <a:rPr lang="en-GB" sz="1100" b="1">
              <a:solidFill>
                <a:schemeClr val="dk1"/>
              </a:solidFill>
              <a:effectLst/>
              <a:latin typeface="+mn-lt"/>
              <a:ea typeface="+mn-ea"/>
              <a:cs typeface="+mn-cs"/>
            </a:rPr>
          </a:br>
          <a:br>
            <a:rPr lang="en-GB" sz="1100" b="1">
              <a:solidFill>
                <a:schemeClr val="dk1"/>
              </a:solidFill>
              <a:effectLst/>
              <a:latin typeface="+mn-lt"/>
              <a:ea typeface="+mn-ea"/>
              <a:cs typeface="+mn-cs"/>
            </a:rPr>
          </a:br>
          <a:r>
            <a:rPr lang="en-GB" sz="1100" b="1">
              <a:solidFill>
                <a:schemeClr val="dk1"/>
              </a:solidFill>
              <a:effectLst/>
              <a:latin typeface="+mn-lt"/>
              <a:ea typeface="+mn-ea"/>
              <a:cs typeface="+mn-cs"/>
            </a:rPr>
            <a:t>The user fills the sheet in, only using the yellow boxes, players names and types of results of individual players for matches.  The results of matches (grey boxes) are taken from the worksheet 2018 and the system formula counts the number of points each player earned in each of the matches based on the following rules.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1.  If the player correctly predicted the exact outcome of the match, (Result and Score) they will receive 3 points.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2.  If the player correctly predicted the winner of the match or a draw, they will earn 1 point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3.  In any other case, the player will receive 0 points.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4.  If multiple players finish on the same number of points, there finishing order in the table will be decided based on whichever of the players predicted an accurate result the most times.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5.  In other cases, players will take the same position.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6.  These rules are automatically implemented; therefore, the table will sum up the results of all the players.</a:t>
          </a:r>
          <a:endParaRPr lang="en-GB"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rgb="FFFFC000"/>
  </sheetPr>
  <dimension ref="A1:BP74"/>
  <sheetViews>
    <sheetView showGridLines="0" tabSelected="1" zoomScale="85" zoomScaleNormal="85" workbookViewId="0">
      <pane xSplit="16" ySplit="5" topLeftCell="Q6" activePane="bottomRight" state="frozen"/>
      <selection pane="topRight" activeCell="Q1" sqref="Q1"/>
      <selection pane="bottomLeft" activeCell="A6" sqref="A6"/>
      <selection pane="bottomRight" activeCell="G3" sqref="G3:H3"/>
    </sheetView>
  </sheetViews>
  <sheetFormatPr defaultRowHeight="15.75"/>
  <cols>
    <col min="1" max="1" width="3.7109375" style="34" customWidth="1"/>
    <col min="2" max="2" width="3.28515625" style="39" hidden="1" customWidth="1"/>
    <col min="3" max="3" width="17.140625" style="19" hidden="1" customWidth="1"/>
    <col min="4" max="5" width="3.28515625" style="40" hidden="1" customWidth="1"/>
    <col min="6" max="6" width="2.85546875" style="48" customWidth="1"/>
    <col min="7" max="7" width="17" style="21" customWidth="1"/>
    <col min="8" max="8" width="10.7109375" style="21" customWidth="1"/>
    <col min="9" max="10" width="20.7109375" style="28" customWidth="1"/>
    <col min="11" max="12" width="5.7109375" style="69" customWidth="1"/>
    <col min="13" max="13" width="3.7109375" style="69" hidden="1" customWidth="1"/>
    <col min="14" max="15" width="5.7109375" style="69" customWidth="1"/>
    <col min="16" max="16" width="2.7109375" style="87" customWidth="1"/>
    <col min="17" max="17" width="5.7109375" style="21" customWidth="1"/>
    <col min="18" max="18" width="25.7109375" style="29" customWidth="1"/>
    <col min="19" max="24" width="10.7109375" style="21" customWidth="1"/>
    <col min="25" max="25" width="2.7109375" style="21" customWidth="1"/>
    <col min="26" max="26" width="2.7109375" style="21" hidden="1" customWidth="1"/>
    <col min="27" max="28" width="10.7109375" style="21" hidden="1" customWidth="1"/>
    <col min="29" max="33" width="3.7109375" style="21" hidden="1" customWidth="1"/>
    <col min="34" max="34" width="4.85546875" style="21" hidden="1" customWidth="1"/>
    <col min="35" max="44" width="3.7109375" style="21" hidden="1" customWidth="1"/>
    <col min="45" max="45" width="5.7109375" style="21" hidden="1" customWidth="1"/>
    <col min="46" max="46" width="10.7109375" style="21" hidden="1" customWidth="1"/>
    <col min="47" max="54" width="5.7109375" style="19" hidden="1" customWidth="1"/>
    <col min="55" max="55" width="7" style="19" hidden="1" customWidth="1"/>
    <col min="56" max="56" width="10" style="19" hidden="1" customWidth="1"/>
    <col min="57" max="62" width="5.7109375" style="19" hidden="1" customWidth="1"/>
    <col min="63" max="63" width="9.5703125" style="19" hidden="1" customWidth="1"/>
    <col min="64" max="67" width="9.140625" style="34"/>
    <col min="68" max="68" width="2.7109375" style="21" customWidth="1"/>
    <col min="69" max="16384" width="9.140625" style="34"/>
  </cols>
  <sheetData>
    <row r="1" spans="1:68" ht="16.5" thickBot="1">
      <c r="A1" s="207" t="s">
        <v>279</v>
      </c>
    </row>
    <row r="2" spans="1:68" ht="9.9499999999999993" customHeight="1" thickBot="1">
      <c r="B2" s="229"/>
      <c r="C2" s="229"/>
      <c r="D2" s="229"/>
      <c r="E2" s="230"/>
      <c r="F2" s="117"/>
      <c r="G2" s="92"/>
      <c r="H2" s="92"/>
      <c r="I2" s="92"/>
      <c r="J2" s="92"/>
      <c r="K2" s="93"/>
      <c r="L2" s="93"/>
      <c r="M2" s="104"/>
      <c r="N2" s="93"/>
      <c r="O2" s="93"/>
      <c r="P2" s="94"/>
      <c r="Q2" s="92"/>
      <c r="R2" s="95"/>
      <c r="S2" s="92"/>
      <c r="T2" s="92"/>
      <c r="U2" s="92"/>
      <c r="V2" s="92"/>
      <c r="W2" s="92"/>
      <c r="X2" s="92"/>
      <c r="Y2" s="92"/>
      <c r="Z2" s="172"/>
      <c r="AA2" s="172"/>
      <c r="AB2" s="172"/>
      <c r="AC2" s="172"/>
      <c r="AD2" s="172"/>
      <c r="AE2" s="172"/>
      <c r="AF2" s="172"/>
      <c r="AG2" s="172"/>
      <c r="AH2" s="172"/>
      <c r="AI2" s="172"/>
      <c r="AJ2" s="172"/>
      <c r="AK2" s="172"/>
      <c r="AL2" s="172"/>
      <c r="AM2" s="172"/>
      <c r="AN2" s="172"/>
      <c r="AO2" s="172"/>
      <c r="AP2" s="172"/>
      <c r="AQ2" s="172"/>
      <c r="AR2" s="172"/>
      <c r="AS2" s="172"/>
      <c r="AT2" s="172"/>
      <c r="AU2" s="105"/>
      <c r="AV2" s="105"/>
      <c r="AW2" s="105"/>
      <c r="AX2" s="105"/>
      <c r="AY2" s="105"/>
      <c r="AZ2" s="105"/>
      <c r="BA2" s="105"/>
      <c r="BB2" s="105"/>
      <c r="BC2" s="105"/>
      <c r="BD2" s="105"/>
      <c r="BE2" s="105"/>
      <c r="BF2" s="105"/>
      <c r="BG2" s="105"/>
      <c r="BH2" s="105"/>
      <c r="BI2" s="105"/>
      <c r="BJ2" s="105"/>
      <c r="BK2" s="105"/>
      <c r="BL2" s="92"/>
      <c r="BM2" s="92"/>
      <c r="BN2" s="92"/>
      <c r="BO2" s="92"/>
      <c r="BP2" s="96"/>
    </row>
    <row r="3" spans="1:68" s="204" customFormat="1" ht="19.5" thickBot="1">
      <c r="B3" s="197"/>
      <c r="C3" s="198"/>
      <c r="D3" s="199"/>
      <c r="E3" s="199"/>
      <c r="F3" s="200"/>
      <c r="G3" s="232" t="s">
        <v>149</v>
      </c>
      <c r="H3" s="233"/>
      <c r="I3" s="205" t="str">
        <f>SET!C37</f>
        <v>&lt; Timezone</v>
      </c>
      <c r="J3" s="205"/>
      <c r="K3" s="205"/>
      <c r="L3" s="205"/>
      <c r="M3" s="205"/>
      <c r="N3" s="205"/>
      <c r="O3" s="205"/>
      <c r="P3" s="206" t="str">
        <f>SET!C58</f>
        <v>Select Team &gt;</v>
      </c>
      <c r="Q3" s="235" t="s">
        <v>242</v>
      </c>
      <c r="R3" s="235"/>
      <c r="S3" s="201"/>
      <c r="T3" s="201"/>
      <c r="U3" s="201"/>
      <c r="V3" s="201"/>
      <c r="W3" s="201"/>
      <c r="X3" s="201"/>
      <c r="Y3" s="202"/>
      <c r="Z3" s="215" t="s">
        <v>182</v>
      </c>
      <c r="AA3" s="215"/>
      <c r="AB3" s="215"/>
      <c r="AC3" s="215"/>
      <c r="AD3" s="215"/>
      <c r="AE3" s="215"/>
      <c r="AF3" s="215"/>
      <c r="AG3" s="215"/>
      <c r="AH3" s="215"/>
      <c r="AI3" s="215"/>
      <c r="AJ3" s="215"/>
      <c r="AK3" s="215"/>
      <c r="AL3" s="215"/>
      <c r="AM3" s="215"/>
      <c r="AN3" s="215"/>
      <c r="AO3" s="215"/>
      <c r="AP3" s="215"/>
      <c r="AQ3" s="215"/>
      <c r="AR3" s="231"/>
      <c r="AS3" s="214" t="s">
        <v>183</v>
      </c>
      <c r="AT3" s="215"/>
      <c r="AU3" s="215"/>
      <c r="AV3" s="215"/>
      <c r="AW3" s="215"/>
      <c r="AX3" s="215"/>
      <c r="AY3" s="215"/>
      <c r="AZ3" s="215"/>
      <c r="BA3" s="215"/>
      <c r="BB3" s="215"/>
      <c r="BC3" s="215"/>
      <c r="BD3" s="231"/>
      <c r="BE3" s="214" t="s">
        <v>181</v>
      </c>
      <c r="BF3" s="215"/>
      <c r="BG3" s="215"/>
      <c r="BH3" s="215"/>
      <c r="BI3" s="215"/>
      <c r="BJ3" s="215"/>
      <c r="BK3" s="215"/>
      <c r="BL3" s="210" t="str">
        <f>SET!C57</f>
        <v>Language &gt;</v>
      </c>
      <c r="BM3" s="210"/>
      <c r="BN3" s="208" t="s">
        <v>255</v>
      </c>
      <c r="BO3" s="209"/>
      <c r="BP3" s="203"/>
    </row>
    <row r="4" spans="1:68">
      <c r="B4" s="20" t="s">
        <v>4</v>
      </c>
      <c r="C4" s="20" t="s">
        <v>177</v>
      </c>
      <c r="D4" s="38"/>
      <c r="E4" s="38"/>
      <c r="F4" s="106"/>
      <c r="G4" s="107"/>
      <c r="H4" s="107"/>
      <c r="I4" s="107"/>
      <c r="J4" s="108"/>
      <c r="K4" s="109"/>
      <c r="L4" s="109"/>
      <c r="M4" s="110"/>
      <c r="N4" s="109"/>
      <c r="O4" s="109"/>
      <c r="P4" s="107"/>
      <c r="Q4" s="107"/>
      <c r="R4" s="111"/>
      <c r="S4" s="107"/>
      <c r="T4" s="107"/>
      <c r="U4" s="107"/>
      <c r="V4" s="107"/>
      <c r="W4" s="107"/>
      <c r="X4" s="107"/>
      <c r="Y4" s="107"/>
      <c r="Z4" s="115"/>
      <c r="AA4" s="115"/>
      <c r="AB4" s="115"/>
      <c r="AC4" s="115"/>
      <c r="AD4" s="115"/>
      <c r="AE4" s="115"/>
      <c r="AF4" s="115"/>
      <c r="AG4" s="115"/>
      <c r="AH4" s="115"/>
      <c r="AI4" s="115"/>
      <c r="AJ4" s="115"/>
      <c r="AK4" s="115"/>
      <c r="AL4" s="115"/>
      <c r="AM4" s="115"/>
      <c r="AN4" s="115"/>
      <c r="AO4" s="115"/>
      <c r="AP4" s="115"/>
      <c r="AQ4" s="115"/>
      <c r="AR4" s="115"/>
      <c r="AS4" s="115"/>
      <c r="AT4" s="115"/>
      <c r="AU4" s="107"/>
      <c r="AV4" s="107"/>
      <c r="AW4" s="107"/>
      <c r="AX4" s="107"/>
      <c r="AY4" s="107"/>
      <c r="AZ4" s="107"/>
      <c r="BA4" s="107"/>
      <c r="BB4" s="107"/>
      <c r="BC4" s="107"/>
      <c r="BD4" s="107"/>
      <c r="BE4" s="107"/>
      <c r="BF4" s="107"/>
      <c r="BG4" s="107"/>
      <c r="BH4" s="107"/>
      <c r="BI4" s="107"/>
      <c r="BJ4" s="107"/>
      <c r="BK4" s="107"/>
      <c r="BL4" s="219" t="str">
        <f>SET!C49</f>
        <v>Tiebreakers</v>
      </c>
      <c r="BM4" s="219"/>
      <c r="BN4" s="219"/>
      <c r="BO4" s="219"/>
      <c r="BP4" s="112"/>
    </row>
    <row r="5" spans="1:68" s="91" customFormat="1" ht="16.5" thickBot="1">
      <c r="B5" s="88"/>
      <c r="C5" s="88"/>
      <c r="D5" s="89"/>
      <c r="E5" s="89"/>
      <c r="F5" s="118"/>
      <c r="G5" s="168" t="str">
        <f>SET!C38</f>
        <v>Date</v>
      </c>
      <c r="H5" s="168" t="str">
        <f>SET!C39</f>
        <v>Day</v>
      </c>
      <c r="I5" s="168" t="str">
        <f>SET!C40</f>
        <v>Team 1</v>
      </c>
      <c r="J5" s="168" t="str">
        <f>SET!C41</f>
        <v>Team 2</v>
      </c>
      <c r="K5" s="234" t="str">
        <f>SET!C42</f>
        <v>Score</v>
      </c>
      <c r="L5" s="234"/>
      <c r="M5" s="169"/>
      <c r="N5" s="234" t="str">
        <f>SET!C43</f>
        <v>Group</v>
      </c>
      <c r="O5" s="234"/>
      <c r="P5" s="128"/>
      <c r="Q5" s="168" t="s">
        <v>266</v>
      </c>
      <c r="R5" s="168" t="str">
        <f>SET!C50</f>
        <v>Team</v>
      </c>
      <c r="S5" s="168" t="str">
        <f>SET!C51</f>
        <v>Pld</v>
      </c>
      <c r="T5" s="168" t="str">
        <f>SET!C52</f>
        <v>Pts</v>
      </c>
      <c r="U5" s="170" t="s">
        <v>269</v>
      </c>
      <c r="V5" s="170" t="s">
        <v>270</v>
      </c>
      <c r="W5" s="170" t="s">
        <v>271</v>
      </c>
      <c r="X5" s="168" t="s">
        <v>277</v>
      </c>
      <c r="Y5" s="129"/>
      <c r="Z5" s="97"/>
      <c r="AA5" s="90" t="str">
        <f t="shared" ref="AA5" si="0">IF(K5&lt;&gt;"",I5,"")</f>
        <v>Team 1</v>
      </c>
      <c r="AB5" s="90" t="str">
        <f t="shared" ref="AB5" si="1">IF(L5&lt;&gt;"",J5,"")</f>
        <v/>
      </c>
      <c r="AC5" s="90">
        <f t="shared" ref="AC5" si="2">IF(AND(L5&lt;&gt;"",K5&lt;&gt;"",K5&gt;L5),3,IF(AND(L5&lt;&gt;"",K5&lt;&gt;"",K5=L5),1,0))</f>
        <v>0</v>
      </c>
      <c r="AD5" s="90">
        <f t="shared" ref="AD5" si="3">IF(AND(L5&lt;&gt;"",K5&lt;&gt;"",K5&lt;L5),3,IF(AND(K5&lt;&gt;"",L5&lt;&gt;"",K5=L5),1,0))</f>
        <v>0</v>
      </c>
      <c r="AE5" s="90" t="e">
        <f t="shared" ref="AE5" si="4">VLOOKUP(AA5,$AT$6:$BF$10,13,FALSE)</f>
        <v>#N/A</v>
      </c>
      <c r="AF5" s="90" t="e">
        <f t="shared" ref="AF5" si="5">VLOOKUP(AB5,$AT$6:$BF$10,13,FALSE)</f>
        <v>#N/A</v>
      </c>
      <c r="AG5" s="90" t="e">
        <f>IF(SUM(AE5:AF5)=2,1,0)</f>
        <v>#N/A</v>
      </c>
      <c r="AH5" s="90" t="e">
        <f t="shared" ref="AH5" si="6">IF(VLOOKUP(AA5,$AT$6:$BE$10,4,FALSE)=$BF$11,1,0)</f>
        <v>#N/A</v>
      </c>
      <c r="AI5" s="90" t="e">
        <f t="shared" ref="AI5" si="7">IF(VLOOKUP(AB5,$AT$6:$BE$10,4,FALSE)=$BF$11,1,0)</f>
        <v>#N/A</v>
      </c>
      <c r="AJ5" s="97" t="e">
        <f>IF(SUM(AH5:AI5)=2,1,0)</f>
        <v>#N/A</v>
      </c>
      <c r="AK5" s="90" t="e">
        <f t="shared" ref="AK5" si="8">IF(VLOOKUP(AA5,$AT$6:$BE$10,4,FALSE)=$BG$11,1,0)</f>
        <v>#N/A</v>
      </c>
      <c r="AL5" s="90" t="e">
        <f t="shared" ref="AL5" si="9">IF(VLOOKUP(AB5,$AT$6:$BE$10,4,FALSE)=$BG$11,1,0)</f>
        <v>#N/A</v>
      </c>
      <c r="AM5" s="97" t="e">
        <f>IF(SUM(AK5:AL5)=2,1,0)</f>
        <v>#N/A</v>
      </c>
      <c r="AN5" s="90" t="e">
        <f t="shared" ref="AN5" si="10">IF(IndA=8,K5*AJ5+K5*AM5,AG5)</f>
        <v>#N/A</v>
      </c>
      <c r="AO5" s="90" t="e">
        <f t="shared" ref="AO5" si="11">IF(IndA=8,L5*AJ5+L5*AM5,AG5)</f>
        <v>#N/A</v>
      </c>
      <c r="AP5" s="90" t="e">
        <f>AN5</f>
        <v>#N/A</v>
      </c>
      <c r="AQ5" s="90" t="e">
        <f t="shared" ref="AQ5" si="12">IF(IndA=8,AC5*AJ5+AC5*AM5,AG5)</f>
        <v>#N/A</v>
      </c>
      <c r="AR5" s="90" t="e">
        <f t="shared" ref="AR5" si="13">IF(IndA=8,AD5*AJ5+AD5*AM5,AG5)</f>
        <v>#N/A</v>
      </c>
      <c r="AS5" s="97" t="s">
        <v>159</v>
      </c>
      <c r="AT5" s="97" t="s">
        <v>3</v>
      </c>
      <c r="AU5" s="97" t="s">
        <v>172</v>
      </c>
      <c r="AV5" s="97" t="s">
        <v>86</v>
      </c>
      <c r="AW5" s="97" t="s">
        <v>5</v>
      </c>
      <c r="AX5" s="97" t="s">
        <v>187</v>
      </c>
      <c r="AY5" s="97" t="s">
        <v>180</v>
      </c>
      <c r="AZ5" s="97" t="s">
        <v>2</v>
      </c>
      <c r="BA5" s="97" t="s">
        <v>0</v>
      </c>
      <c r="BB5" s="97" t="s">
        <v>1</v>
      </c>
      <c r="BC5" s="97" t="s">
        <v>278</v>
      </c>
      <c r="BD5" s="97" t="s">
        <v>87</v>
      </c>
      <c r="BE5" s="97" t="s">
        <v>185</v>
      </c>
      <c r="BF5" s="97" t="s">
        <v>186</v>
      </c>
      <c r="BG5" s="97" t="s">
        <v>5</v>
      </c>
      <c r="BH5" s="97" t="s">
        <v>179</v>
      </c>
      <c r="BI5" s="97" t="s">
        <v>0</v>
      </c>
      <c r="BJ5" s="97" t="s">
        <v>1</v>
      </c>
      <c r="BK5" s="97" t="s">
        <v>184</v>
      </c>
      <c r="BL5" s="168" t="str">
        <f>SET!C52</f>
        <v>Pts</v>
      </c>
      <c r="BM5" s="170" t="s">
        <v>269</v>
      </c>
      <c r="BN5" s="170" t="s">
        <v>270</v>
      </c>
      <c r="BO5" s="170" t="s">
        <v>271</v>
      </c>
      <c r="BP5" s="131"/>
    </row>
    <row r="6" spans="1:68" ht="15" customHeight="1" thickBot="1">
      <c r="B6" s="38">
        <v>1</v>
      </c>
      <c r="C6" s="35">
        <v>43265.666666666664</v>
      </c>
      <c r="D6" s="38" t="s">
        <v>227</v>
      </c>
      <c r="E6" s="38" t="s">
        <v>199</v>
      </c>
      <c r="F6" s="117"/>
      <c r="G6" s="157">
        <f>C6+TimesInd/24</f>
        <v>43265.8125</v>
      </c>
      <c r="H6" s="136" t="str">
        <f>TEXT(G6,"ddd")</f>
        <v>Thu</v>
      </c>
      <c r="I6" s="137" t="str">
        <f t="shared" ref="I6:I53" si="14">VLOOKUP(D6,TeamTbl,2,FALSE)</f>
        <v>Russia</v>
      </c>
      <c r="J6" s="137" t="str">
        <f t="shared" ref="J6:J53" si="15">VLOOKUP(E6,TeamTbl,2,FALSE)</f>
        <v>Saudi Arabia</v>
      </c>
      <c r="K6" s="138"/>
      <c r="L6" s="139"/>
      <c r="M6" s="140">
        <f t="shared" ref="M6:M53" si="16">K6</f>
        <v>0</v>
      </c>
      <c r="N6" s="220" t="s">
        <v>161</v>
      </c>
      <c r="O6" s="221"/>
      <c r="P6" s="141"/>
      <c r="Q6" s="142"/>
      <c r="R6" s="143"/>
      <c r="S6" s="142"/>
      <c r="T6" s="142"/>
      <c r="U6" s="142"/>
      <c r="V6" s="142"/>
      <c r="W6" s="142"/>
      <c r="X6" s="142"/>
      <c r="Y6" s="142"/>
      <c r="Z6" s="174"/>
      <c r="AA6" s="175" t="str">
        <f t="shared" ref="AA6:AA53" si="17">IF(K6&lt;&gt;"",I6,"")</f>
        <v/>
      </c>
      <c r="AB6" s="175" t="str">
        <f t="shared" ref="AB6:AB53" si="18">IF(L6&lt;&gt;"",J6,"")</f>
        <v/>
      </c>
      <c r="AC6" s="175">
        <f t="shared" ref="AC6:AC53" si="19">IF(AND(L6&lt;&gt;"",K6&lt;&gt;"",K6&gt;L6),3,IF(AND(L6&lt;&gt;"",K6&lt;&gt;"",K6=L6),1,0))</f>
        <v>0</v>
      </c>
      <c r="AD6" s="175">
        <f t="shared" ref="AD6:AD53" si="20">IF(AND(L6&lt;&gt;"",K6&lt;&gt;"",K6&lt;L6),3,IF(AND(K6&lt;&gt;"",L6&lt;&gt;"",K6=L6),1,0))</f>
        <v>0</v>
      </c>
      <c r="AE6" s="175" t="e">
        <f t="shared" ref="AE6:AF11" si="21">VLOOKUP(AA6,$AT$6:$BF$10,13,FALSE)</f>
        <v>#N/A</v>
      </c>
      <c r="AF6" s="175" t="e">
        <f t="shared" si="21"/>
        <v>#N/A</v>
      </c>
      <c r="AG6" s="175" t="e">
        <f>IF(SUM(AE6:AF6)=2,1,0)</f>
        <v>#N/A</v>
      </c>
      <c r="AH6" s="175" t="e">
        <f t="shared" ref="AH6:AI11" si="22">IF(VLOOKUP(AA6,$AT$6:$BE$10,4,FALSE)=$BF$11,1,0)</f>
        <v>#N/A</v>
      </c>
      <c r="AI6" s="175" t="e">
        <f t="shared" si="22"/>
        <v>#N/A</v>
      </c>
      <c r="AJ6" s="175" t="e">
        <f>IF(SUM(AH6:AI6)=2,1,0)</f>
        <v>#N/A</v>
      </c>
      <c r="AK6" s="175" t="e">
        <f t="shared" ref="AK6:AL11" si="23">IF(VLOOKUP(AA6,$AT$6:$BE$10,4,FALSE)=$BG$11,1,0)</f>
        <v>#N/A</v>
      </c>
      <c r="AL6" s="175" t="e">
        <f t="shared" si="23"/>
        <v>#N/A</v>
      </c>
      <c r="AM6" s="175" t="e">
        <f>IF(SUM(AK6:AL6)=2,1,0)</f>
        <v>#N/A</v>
      </c>
      <c r="AN6" s="175" t="e">
        <f t="shared" ref="AN6:AN11" si="24">IF(IndA=8,K6*AJ6+K6*AM6,AG6)</f>
        <v>#N/A</v>
      </c>
      <c r="AO6" s="175" t="e">
        <f t="shared" ref="AO6:AO11" si="25">IF(IndA=8,L6*AJ6+L6*AM6,AG6)</f>
        <v>#N/A</v>
      </c>
      <c r="AP6" s="175" t="e">
        <f>AN6</f>
        <v>#N/A</v>
      </c>
      <c r="AQ6" s="175" t="e">
        <f t="shared" ref="AQ6:AQ11" si="26">IF(IndA=8,AC6*AJ6+AC6*AM6,AG6)</f>
        <v>#N/A</v>
      </c>
      <c r="AR6" s="175" t="e">
        <f t="shared" ref="AR6:AR11" si="27">IF(IndA=8,AD6*AJ6+AD6*AM6,AG6)</f>
        <v>#N/A</v>
      </c>
      <c r="AS6" s="216" t="s">
        <v>159</v>
      </c>
      <c r="AT6" s="217" t="s">
        <v>3</v>
      </c>
      <c r="AU6" s="217" t="s">
        <v>172</v>
      </c>
      <c r="AV6" s="217" t="s">
        <v>86</v>
      </c>
      <c r="AW6" s="217" t="s">
        <v>5</v>
      </c>
      <c r="AX6" s="217" t="s">
        <v>187</v>
      </c>
      <c r="AY6" s="217" t="s">
        <v>180</v>
      </c>
      <c r="AZ6" s="217" t="s">
        <v>2</v>
      </c>
      <c r="BA6" s="217" t="s">
        <v>0</v>
      </c>
      <c r="BB6" s="217" t="s">
        <v>1</v>
      </c>
      <c r="BC6" s="217" t="s">
        <v>78</v>
      </c>
      <c r="BD6" s="218" t="s">
        <v>87</v>
      </c>
      <c r="BE6" s="144" t="s">
        <v>185</v>
      </c>
      <c r="BF6" s="145" t="s">
        <v>186</v>
      </c>
      <c r="BG6" s="145" t="s">
        <v>5</v>
      </c>
      <c r="BH6" s="216" t="s">
        <v>179</v>
      </c>
      <c r="BI6" s="217" t="s">
        <v>0</v>
      </c>
      <c r="BJ6" s="217" t="s">
        <v>1</v>
      </c>
      <c r="BK6" s="217" t="s">
        <v>184</v>
      </c>
      <c r="BL6" s="146"/>
      <c r="BM6" s="146"/>
      <c r="BN6" s="146"/>
      <c r="BO6" s="146"/>
      <c r="BP6" s="147"/>
    </row>
    <row r="7" spans="1:68" ht="15" customHeight="1">
      <c r="B7" s="38">
        <v>2</v>
      </c>
      <c r="C7" s="35">
        <v>43266.541666666664</v>
      </c>
      <c r="D7" s="38" t="s">
        <v>198</v>
      </c>
      <c r="E7" s="38" t="s">
        <v>197</v>
      </c>
      <c r="F7" s="119"/>
      <c r="G7" s="74">
        <f>C7+TimesInd/24</f>
        <v>43266.6875</v>
      </c>
      <c r="H7" s="75" t="str">
        <f t="shared" ref="H7:H53" si="28">TEXT(G7,"ddd")</f>
        <v>Fri</v>
      </c>
      <c r="I7" s="76" t="str">
        <f t="shared" si="14"/>
        <v>Egypt</v>
      </c>
      <c r="J7" s="76" t="str">
        <f t="shared" si="15"/>
        <v>Uruguay</v>
      </c>
      <c r="K7" s="132"/>
      <c r="L7" s="133"/>
      <c r="M7" s="83">
        <f t="shared" si="16"/>
        <v>0</v>
      </c>
      <c r="N7" s="222"/>
      <c r="O7" s="223"/>
      <c r="P7" s="107" t="s">
        <v>227</v>
      </c>
      <c r="Q7" s="53">
        <v>1</v>
      </c>
      <c r="R7" s="54" t="str">
        <f>VLOOKUP(Q7,$AS$7:$AZ$10,2,FALSE)</f>
        <v>Uruguay</v>
      </c>
      <c r="S7" s="53">
        <f>VLOOKUP(R7,$AT$7:$BB$10,3,FALSE)</f>
        <v>0</v>
      </c>
      <c r="T7" s="53">
        <f>VLOOKUP(R7,$AT$7:$BB$10,4,FALSE)</f>
        <v>0</v>
      </c>
      <c r="U7" s="53">
        <f>VLOOKUP(R7,$AT$7:$BB$10,8,FALSE)</f>
        <v>0</v>
      </c>
      <c r="V7" s="53">
        <f>VLOOKUP(R7,$AT$7:$BB$10,9,FALSE)</f>
        <v>0</v>
      </c>
      <c r="W7" s="53">
        <f>U7-V7</f>
        <v>0</v>
      </c>
      <c r="X7" s="53">
        <f>VLOOKUP(R7,$AT$7:$BC$10,10,FALSE)</f>
        <v>37</v>
      </c>
      <c r="Y7" s="130"/>
      <c r="Z7" s="176">
        <f>VLOOKUP(R7,$AT$7:$BE$10,12,FALSE)</f>
        <v>4</v>
      </c>
      <c r="AA7" s="177" t="str">
        <f t="shared" si="17"/>
        <v/>
      </c>
      <c r="AB7" s="177" t="str">
        <f t="shared" si="18"/>
        <v/>
      </c>
      <c r="AC7" s="177">
        <f t="shared" si="19"/>
        <v>0</v>
      </c>
      <c r="AD7" s="177">
        <f t="shared" si="20"/>
        <v>0</v>
      </c>
      <c r="AE7" s="177" t="e">
        <f t="shared" si="21"/>
        <v>#N/A</v>
      </c>
      <c r="AF7" s="177" t="e">
        <f t="shared" si="21"/>
        <v>#N/A</v>
      </c>
      <c r="AG7" s="177" t="e">
        <f t="shared" ref="AG7:AG40" si="29">IF(SUM(AE7:AF7)=2,1,0)</f>
        <v>#N/A</v>
      </c>
      <c r="AH7" s="177" t="e">
        <f t="shared" si="22"/>
        <v>#N/A</v>
      </c>
      <c r="AI7" s="177" t="e">
        <f t="shared" si="22"/>
        <v>#N/A</v>
      </c>
      <c r="AJ7" s="177" t="e">
        <f t="shared" ref="AJ7:AJ12" si="30">IF(SUM(AH7:AI7)=2,1,0)</f>
        <v>#N/A</v>
      </c>
      <c r="AK7" s="177" t="e">
        <f t="shared" si="23"/>
        <v>#N/A</v>
      </c>
      <c r="AL7" s="177" t="e">
        <f t="shared" si="23"/>
        <v>#N/A</v>
      </c>
      <c r="AM7" s="177" t="e">
        <f t="shared" ref="AM7:AM12" si="31">IF(SUM(AK7:AL7)=2,1,0)</f>
        <v>#N/A</v>
      </c>
      <c r="AN7" s="177" t="e">
        <f t="shared" si="24"/>
        <v>#N/A</v>
      </c>
      <c r="AO7" s="177" t="e">
        <f t="shared" si="25"/>
        <v>#N/A</v>
      </c>
      <c r="AP7" s="177" t="e">
        <f t="shared" ref="AP7:AP12" si="32">AN7</f>
        <v>#N/A</v>
      </c>
      <c r="AQ7" s="177" t="e">
        <f t="shared" si="26"/>
        <v>#N/A</v>
      </c>
      <c r="AR7" s="177" t="e">
        <f t="shared" si="27"/>
        <v>#N/A</v>
      </c>
      <c r="AS7" s="173">
        <f>RANK(BD7,$BD$7:$BD$10)</f>
        <v>3</v>
      </c>
      <c r="AT7" s="173" t="str">
        <f>VLOOKUP("A1",TeamTbl,2,FALSE)</f>
        <v>Russia</v>
      </c>
      <c r="AU7" s="23" t="s">
        <v>161</v>
      </c>
      <c r="AV7" s="24">
        <f>COUNTIF(AA$4:AB$41,AT7)</f>
        <v>0</v>
      </c>
      <c r="AW7" s="23">
        <f>SUMIF($AA$6:$AB$41,AT7,$AC$6:$AD$41)</f>
        <v>0</v>
      </c>
      <c r="AX7" s="23">
        <f>AW7*BF7</f>
        <v>0</v>
      </c>
      <c r="AY7" s="25">
        <f>BK7</f>
        <v>11.1</v>
      </c>
      <c r="AZ7" s="23">
        <f>BA7-BB7</f>
        <v>0</v>
      </c>
      <c r="BA7" s="23">
        <f>SUMIF(I$6:J$41,AT7,K$6:L$41)</f>
        <v>0</v>
      </c>
      <c r="BB7" s="23">
        <f>SUMIF(I$6:J$41,AT7,L$6:M$41)</f>
        <v>0</v>
      </c>
      <c r="BC7" s="23">
        <f>VLOOKUP(AT7,Tbl,4,FALSE)</f>
        <v>78</v>
      </c>
      <c r="BD7" s="26">
        <f>RANK(AW7,$AW$7:$AW$10,1)*1000+RANK(AY7,$AY$7:$AY$10,1)+RANK(AZ7,$AZ$7:$AZ$10,1)*100+RANK(BA7,$BA$7:$BA$10,1)*10+RANK(BC7,$BC$7:$BC$10,0)*0.01</f>
        <v>1111.02</v>
      </c>
      <c r="BE7" s="23">
        <f>COUNTIF($AW$7:$AW$10,AW7)</f>
        <v>4</v>
      </c>
      <c r="BF7" s="24">
        <f>IF(BE7=1,0,1)</f>
        <v>1</v>
      </c>
      <c r="BG7" s="23">
        <f>SUMIF($AA$6:$AB$41,AT7,$AQ$6:$AR$41)</f>
        <v>0</v>
      </c>
      <c r="BH7" s="23">
        <f>BI7-BJ7</f>
        <v>0</v>
      </c>
      <c r="BI7" s="23">
        <f>SUMIFS($K$6:$L$41,$AA$6:$AB$41,AT7,$AN$6:$AO$41,"&gt;0")</f>
        <v>0</v>
      </c>
      <c r="BJ7" s="23">
        <f>SUMIFS($L$6:$M$41,$AA$6:$AB$41,AT7,$AN$6:$AO$41,"&gt;0")</f>
        <v>0</v>
      </c>
      <c r="BK7" s="27">
        <f>RANK(BG7,$BG$7:$BG$10,1)*10+RANK(BH7,$BH$7:$BH$10,1)+RANK(BI7,$BI$7:$BI$10,1)*0.1</f>
        <v>11.1</v>
      </c>
      <c r="BL7" s="22" t="str">
        <f>IF(VLOOKUP(R7,$AT$7:$BJ$10,5,FALSE)&gt;0,VLOOKUP(R7,$AT$7:$BJ$10,14,FALSE),"")</f>
        <v/>
      </c>
      <c r="BM7" s="22" t="str">
        <f>IF(VLOOKUP(R7,$AT$7:$BJ$10,5,FALSE)&gt;0,VLOOKUP(R7,$AT$7:$BJ$10,16,FALSE),"")</f>
        <v/>
      </c>
      <c r="BN7" s="22" t="str">
        <f>IF(VLOOKUP(R7,$AT$7:$BJ$10,5,FALSE)&gt;0,VLOOKUP(R7,$AT$7:$BJ$10,17,FALSE),"")</f>
        <v/>
      </c>
      <c r="BO7" s="22" t="str">
        <f>IF(BL7&lt;&gt;"",BM7-BN7,"")</f>
        <v/>
      </c>
      <c r="BP7" s="116"/>
    </row>
    <row r="8" spans="1:68" ht="15" customHeight="1">
      <c r="B8" s="38">
        <v>17</v>
      </c>
      <c r="C8" s="35">
        <v>43270.791666666664</v>
      </c>
      <c r="D8" s="38" t="s">
        <v>227</v>
      </c>
      <c r="E8" s="38" t="s">
        <v>198</v>
      </c>
      <c r="F8" s="119"/>
      <c r="G8" s="74">
        <f>C8+TimesInd/24</f>
        <v>43270.9375</v>
      </c>
      <c r="H8" s="75" t="str">
        <f t="shared" si="28"/>
        <v>Tue</v>
      </c>
      <c r="I8" s="76" t="str">
        <f t="shared" si="14"/>
        <v>Russia</v>
      </c>
      <c r="J8" s="76" t="str">
        <f t="shared" si="15"/>
        <v>Egypt</v>
      </c>
      <c r="K8" s="132"/>
      <c r="L8" s="133"/>
      <c r="M8" s="83">
        <f t="shared" si="16"/>
        <v>0</v>
      </c>
      <c r="N8" s="222"/>
      <c r="O8" s="223"/>
      <c r="P8" s="107" t="s">
        <v>197</v>
      </c>
      <c r="Q8" s="53">
        <v>2</v>
      </c>
      <c r="R8" s="54" t="str">
        <f>VLOOKUP(Q8,$AS$7:$AZ$10,2,FALSE)</f>
        <v>Saudi Arabia</v>
      </c>
      <c r="S8" s="53">
        <f>VLOOKUP(R8,$AT$7:$BB$10,3,FALSE)</f>
        <v>0</v>
      </c>
      <c r="T8" s="53">
        <f>VLOOKUP(R8,$AT$7:$BB$10,4,FALSE)</f>
        <v>0</v>
      </c>
      <c r="U8" s="53">
        <f>VLOOKUP(R8,$AT$7:$BB$10,8,FALSE)</f>
        <v>0</v>
      </c>
      <c r="V8" s="53">
        <f>VLOOKUP(R8,$AT$7:$BB$10,9,FALSE)</f>
        <v>0</v>
      </c>
      <c r="W8" s="53">
        <f t="shared" ref="W8:W10" si="33">U8-V8</f>
        <v>0</v>
      </c>
      <c r="X8" s="53">
        <f>VLOOKUP(R8,$AT$7:$BC$10,10,FALSE)</f>
        <v>63</v>
      </c>
      <c r="Y8" s="130"/>
      <c r="Z8" s="176">
        <f>VLOOKUP(R8,$AT$7:$BE$10,12,FALSE)</f>
        <v>4</v>
      </c>
      <c r="AA8" s="177" t="str">
        <f t="shared" si="17"/>
        <v/>
      </c>
      <c r="AB8" s="177" t="str">
        <f t="shared" si="18"/>
        <v/>
      </c>
      <c r="AC8" s="177">
        <f t="shared" si="19"/>
        <v>0</v>
      </c>
      <c r="AD8" s="177">
        <f t="shared" si="20"/>
        <v>0</v>
      </c>
      <c r="AE8" s="177" t="e">
        <f t="shared" si="21"/>
        <v>#N/A</v>
      </c>
      <c r="AF8" s="177" t="e">
        <f t="shared" si="21"/>
        <v>#N/A</v>
      </c>
      <c r="AG8" s="177" t="e">
        <f t="shared" si="29"/>
        <v>#N/A</v>
      </c>
      <c r="AH8" s="177" t="e">
        <f t="shared" si="22"/>
        <v>#N/A</v>
      </c>
      <c r="AI8" s="177" t="e">
        <f t="shared" si="22"/>
        <v>#N/A</v>
      </c>
      <c r="AJ8" s="177" t="e">
        <f t="shared" si="30"/>
        <v>#N/A</v>
      </c>
      <c r="AK8" s="177" t="e">
        <f t="shared" si="23"/>
        <v>#N/A</v>
      </c>
      <c r="AL8" s="177" t="e">
        <f t="shared" si="23"/>
        <v>#N/A</v>
      </c>
      <c r="AM8" s="177" t="e">
        <f t="shared" si="31"/>
        <v>#N/A</v>
      </c>
      <c r="AN8" s="177" t="e">
        <f t="shared" si="24"/>
        <v>#N/A</v>
      </c>
      <c r="AO8" s="177" t="e">
        <f t="shared" si="25"/>
        <v>#N/A</v>
      </c>
      <c r="AP8" s="177" t="e">
        <f t="shared" si="32"/>
        <v>#N/A</v>
      </c>
      <c r="AQ8" s="177" t="e">
        <f t="shared" si="26"/>
        <v>#N/A</v>
      </c>
      <c r="AR8" s="177" t="e">
        <f t="shared" si="27"/>
        <v>#N/A</v>
      </c>
      <c r="AS8" s="173">
        <f>RANK(BD8,$BD$7:$BD$10)</f>
        <v>1</v>
      </c>
      <c r="AT8" s="173" t="str">
        <f>VLOOKUP("A2",TeamTbl,2,FALSE)</f>
        <v>Uruguay</v>
      </c>
      <c r="AU8" s="23" t="s">
        <v>161</v>
      </c>
      <c r="AV8" s="24">
        <f>COUNTIF(AA$4:AB$41,AT8)</f>
        <v>0</v>
      </c>
      <c r="AW8" s="23">
        <f>SUMIF($AA$6:$AB$41,AT8,$AC$6:$AD$41)</f>
        <v>0</v>
      </c>
      <c r="AX8" s="23">
        <f t="shared" ref="AX8:AX40" si="34">AW8*BF8</f>
        <v>0</v>
      </c>
      <c r="AY8" s="25">
        <f t="shared" ref="AY8:AY10" si="35">BK8</f>
        <v>11.1</v>
      </c>
      <c r="AZ8" s="23">
        <f>BA8-BB8</f>
        <v>0</v>
      </c>
      <c r="BA8" s="23">
        <f>SUMIF(I$6:J$41,AT8,K$6:L$41)</f>
        <v>0</v>
      </c>
      <c r="BB8" s="23">
        <f>SUMIF(I$6:J$41,AT8,L$6:M$41)</f>
        <v>0</v>
      </c>
      <c r="BC8" s="23">
        <f>VLOOKUP(AT8,Tbl,4,FALSE)</f>
        <v>37</v>
      </c>
      <c r="BD8" s="26">
        <f t="shared" ref="BD8:BD10" si="36">RANK(AW8,$AW$7:$AW$10,1)*1000+RANK(AY8,$AY$7:$AY$10,1)+RANK(AZ8,$AZ$7:$AZ$10,1)*100+RANK(BA8,$BA$7:$BA$10,1)*10+RANK(BC8,$BC$7:$BC$10,0)*0.01</f>
        <v>1111.04</v>
      </c>
      <c r="BE8" s="23">
        <f>COUNTIF($AW$7:$AW$10,AW8)</f>
        <v>4</v>
      </c>
      <c r="BF8" s="24">
        <f t="shared" ref="BF8:BF10" si="37">IF(BE8=1,0,1)</f>
        <v>1</v>
      </c>
      <c r="BG8" s="23">
        <f>SUMIF($AA$6:$AB$41,AT8,$AQ$6:$AR$41)</f>
        <v>0</v>
      </c>
      <c r="BH8" s="23">
        <f t="shared" ref="BH8:BH10" si="38">BI8-BJ8</f>
        <v>0</v>
      </c>
      <c r="BI8" s="23">
        <f>SUMIFS($K$6:$L$41,$AA$6:$AB$41,AT8,$AN$6:$AO$41,"&gt;0")</f>
        <v>0</v>
      </c>
      <c r="BJ8" s="23">
        <f>SUMIFS($L$6:$M$41,$AA$6:$AB$41,AT8,$AN$6:$AO$41,"&gt;0")</f>
        <v>0</v>
      </c>
      <c r="BK8" s="27">
        <f t="shared" ref="BK8:BK10" si="39">RANK(BG8,$BG$7:$BG$10,1)*10+RANK(BH8,$BH$7:$BH$10,1)+RANK(BI8,$BI$7:$BI$10,1)*0.1</f>
        <v>11.1</v>
      </c>
      <c r="BL8" s="22" t="str">
        <f>IF(VLOOKUP(R8,$AT$7:$BJ$10,5,FALSE)&gt;0,VLOOKUP(R8,$AT$7:$BJ$10,14,FALSE),"")</f>
        <v/>
      </c>
      <c r="BM8" s="22" t="str">
        <f>IF(VLOOKUP(R8,$AT$7:$BJ$10,5,FALSE)&gt;0,VLOOKUP(R8,$AT$7:$BJ$10,16,FALSE),"")</f>
        <v/>
      </c>
      <c r="BN8" s="22" t="str">
        <f>IF(VLOOKUP(R8,$AT$7:$BJ$10,5,FALSE)&gt;0,VLOOKUP(R8,$AT$7:$BJ$10,17,FALSE),"")</f>
        <v/>
      </c>
      <c r="BO8" s="22" t="str">
        <f t="shared" ref="BO8:BO10" si="40">IF(BL8&lt;&gt;"",BM8-BN8,"")</f>
        <v/>
      </c>
      <c r="BP8" s="116"/>
    </row>
    <row r="9" spans="1:68" ht="15" customHeight="1">
      <c r="B9" s="38">
        <v>18</v>
      </c>
      <c r="C9" s="35">
        <v>43271.666666666664</v>
      </c>
      <c r="D9" s="38" t="s">
        <v>197</v>
      </c>
      <c r="E9" s="38" t="s">
        <v>199</v>
      </c>
      <c r="F9" s="119"/>
      <c r="G9" s="74">
        <f>C9+TimesInd/24</f>
        <v>43271.8125</v>
      </c>
      <c r="H9" s="75" t="str">
        <f t="shared" si="28"/>
        <v>Wed</v>
      </c>
      <c r="I9" s="76" t="str">
        <f t="shared" si="14"/>
        <v>Uruguay</v>
      </c>
      <c r="J9" s="76" t="str">
        <f t="shared" si="15"/>
        <v>Saudi Arabia</v>
      </c>
      <c r="K9" s="132"/>
      <c r="L9" s="133"/>
      <c r="M9" s="83">
        <f t="shared" si="16"/>
        <v>0</v>
      </c>
      <c r="N9" s="222"/>
      <c r="O9" s="223"/>
      <c r="P9" s="107" t="s">
        <v>198</v>
      </c>
      <c r="Q9" s="49">
        <v>3</v>
      </c>
      <c r="R9" s="50" t="str">
        <f>VLOOKUP(Q9,$AS$7:$AZ$10,2,FALSE)</f>
        <v>Russia</v>
      </c>
      <c r="S9" s="49">
        <f>VLOOKUP(R9,$AT$7:$BB$10,3,FALSE)</f>
        <v>0</v>
      </c>
      <c r="T9" s="49">
        <f>VLOOKUP(R9,$AT$7:$BB$10,4,FALSE)</f>
        <v>0</v>
      </c>
      <c r="U9" s="49">
        <f>VLOOKUP(R9,$AT$7:$BB$10,8,FALSE)</f>
        <v>0</v>
      </c>
      <c r="V9" s="49">
        <f>VLOOKUP(R9,$AT$7:$BB$10,9,FALSE)</f>
        <v>0</v>
      </c>
      <c r="W9" s="49">
        <f t="shared" si="33"/>
        <v>0</v>
      </c>
      <c r="X9" s="49">
        <f>VLOOKUP(R9,$AT$7:$BC$10,10,FALSE)</f>
        <v>78</v>
      </c>
      <c r="Y9" s="130"/>
      <c r="Z9" s="176">
        <f>VLOOKUP(R9,$AT$7:$BE$10,12,FALSE)</f>
        <v>4</v>
      </c>
      <c r="AA9" s="177" t="str">
        <f t="shared" si="17"/>
        <v/>
      </c>
      <c r="AB9" s="177" t="str">
        <f t="shared" si="18"/>
        <v/>
      </c>
      <c r="AC9" s="177">
        <f t="shared" si="19"/>
        <v>0</v>
      </c>
      <c r="AD9" s="177">
        <f t="shared" si="20"/>
        <v>0</v>
      </c>
      <c r="AE9" s="177" t="e">
        <f t="shared" si="21"/>
        <v>#N/A</v>
      </c>
      <c r="AF9" s="177" t="e">
        <f t="shared" si="21"/>
        <v>#N/A</v>
      </c>
      <c r="AG9" s="177" t="e">
        <f t="shared" si="29"/>
        <v>#N/A</v>
      </c>
      <c r="AH9" s="177" t="e">
        <f t="shared" si="22"/>
        <v>#N/A</v>
      </c>
      <c r="AI9" s="177" t="e">
        <f t="shared" si="22"/>
        <v>#N/A</v>
      </c>
      <c r="AJ9" s="177" t="e">
        <f t="shared" si="30"/>
        <v>#N/A</v>
      </c>
      <c r="AK9" s="177" t="e">
        <f t="shared" si="23"/>
        <v>#N/A</v>
      </c>
      <c r="AL9" s="177" t="e">
        <f t="shared" si="23"/>
        <v>#N/A</v>
      </c>
      <c r="AM9" s="177" t="e">
        <f t="shared" si="31"/>
        <v>#N/A</v>
      </c>
      <c r="AN9" s="177" t="e">
        <f t="shared" si="24"/>
        <v>#N/A</v>
      </c>
      <c r="AO9" s="177" t="e">
        <f t="shared" si="25"/>
        <v>#N/A</v>
      </c>
      <c r="AP9" s="177" t="e">
        <f t="shared" si="32"/>
        <v>#N/A</v>
      </c>
      <c r="AQ9" s="177" t="e">
        <f t="shared" si="26"/>
        <v>#N/A</v>
      </c>
      <c r="AR9" s="177" t="e">
        <f t="shared" si="27"/>
        <v>#N/A</v>
      </c>
      <c r="AS9" s="173">
        <f>RANK(BD9,$BD$7:$BD$10)</f>
        <v>4</v>
      </c>
      <c r="AT9" s="173" t="str">
        <f>VLOOKUP("A3",TeamTbl,2,FALSE)</f>
        <v>Egypt</v>
      </c>
      <c r="AU9" s="23" t="s">
        <v>161</v>
      </c>
      <c r="AV9" s="24">
        <f>COUNTIF(AA$4:AB$41,AT9)</f>
        <v>0</v>
      </c>
      <c r="AW9" s="23">
        <f>SUMIF($AA$6:$AB$41,AT9,$AC$6:$AD$41)</f>
        <v>0</v>
      </c>
      <c r="AX9" s="23">
        <f t="shared" si="34"/>
        <v>0</v>
      </c>
      <c r="AY9" s="25">
        <f t="shared" si="35"/>
        <v>11.1</v>
      </c>
      <c r="AZ9" s="23">
        <f>BA9-BB9</f>
        <v>0</v>
      </c>
      <c r="BA9" s="23">
        <f>SUMIF(I$6:J$41,AT9,K$6:L$41)</f>
        <v>0</v>
      </c>
      <c r="BB9" s="23">
        <f>SUMIF(I$6:J$41,AT9,L$6:M$41)</f>
        <v>0</v>
      </c>
      <c r="BC9" s="23">
        <f>VLOOKUP(AT9,Tbl,4,FALSE)</f>
        <v>81</v>
      </c>
      <c r="BD9" s="26">
        <f t="shared" si="36"/>
        <v>1111.01</v>
      </c>
      <c r="BE9" s="23">
        <f>COUNTIF($AW$7:$AW$10,AW9)</f>
        <v>4</v>
      </c>
      <c r="BF9" s="24">
        <f t="shared" si="37"/>
        <v>1</v>
      </c>
      <c r="BG9" s="23">
        <f>SUMIF($AA$6:$AB$41,AT9,$AQ$6:$AR$41)</f>
        <v>0</v>
      </c>
      <c r="BH9" s="23">
        <f t="shared" si="38"/>
        <v>0</v>
      </c>
      <c r="BI9" s="23">
        <f>SUMIFS($K$6:$L$41,$AA$6:$AB$41,AT9,$AN$6:$AO$41,"&gt;0")</f>
        <v>0</v>
      </c>
      <c r="BJ9" s="23">
        <f>SUMIFS($L$6:$M$41,$AA$6:$AB$41,AT9,$AN$6:$AO$41,"&gt;0")</f>
        <v>0</v>
      </c>
      <c r="BK9" s="27">
        <f t="shared" si="39"/>
        <v>11.1</v>
      </c>
      <c r="BL9" s="22" t="str">
        <f>IF(VLOOKUP(R9,$AT$7:$BJ$10,5,FALSE)&gt;0,VLOOKUP(R9,$AT$7:$BJ$10,14,FALSE),"")</f>
        <v/>
      </c>
      <c r="BM9" s="22" t="str">
        <f>IF(VLOOKUP(R9,$AT$7:$BJ$10,5,FALSE)&gt;0,VLOOKUP(R9,$AT$7:$BJ$10,16,FALSE),"")</f>
        <v/>
      </c>
      <c r="BN9" s="22" t="str">
        <f>IF(VLOOKUP(R9,$AT$7:$BJ$10,5,FALSE)&gt;0,VLOOKUP(R9,$AT$7:$BJ$10,17,FALSE),"")</f>
        <v/>
      </c>
      <c r="BO9" s="22" t="str">
        <f t="shared" si="40"/>
        <v/>
      </c>
      <c r="BP9" s="116"/>
    </row>
    <row r="10" spans="1:68" ht="15" customHeight="1">
      <c r="B10" s="38">
        <v>33</v>
      </c>
      <c r="C10" s="35">
        <v>43276.625</v>
      </c>
      <c r="D10" s="38" t="s">
        <v>199</v>
      </c>
      <c r="E10" s="38" t="s">
        <v>198</v>
      </c>
      <c r="F10" s="119"/>
      <c r="G10" s="74">
        <f>C10+TimesInd/24</f>
        <v>43276.770833333336</v>
      </c>
      <c r="H10" s="75" t="str">
        <f t="shared" si="28"/>
        <v>Mon</v>
      </c>
      <c r="I10" s="76" t="str">
        <f t="shared" si="14"/>
        <v>Saudi Arabia</v>
      </c>
      <c r="J10" s="76" t="str">
        <f t="shared" si="15"/>
        <v>Egypt</v>
      </c>
      <c r="K10" s="132"/>
      <c r="L10" s="133"/>
      <c r="M10" s="83">
        <f t="shared" si="16"/>
        <v>0</v>
      </c>
      <c r="N10" s="222"/>
      <c r="O10" s="223"/>
      <c r="P10" s="107" t="s">
        <v>199</v>
      </c>
      <c r="Q10" s="49">
        <v>4</v>
      </c>
      <c r="R10" s="50" t="str">
        <f>VLOOKUP(Q10,$AS$7:$AZ$10,2,FALSE)</f>
        <v>Egypt</v>
      </c>
      <c r="S10" s="49">
        <f>VLOOKUP(R10,$AT$7:$BB$10,3,FALSE)</f>
        <v>0</v>
      </c>
      <c r="T10" s="49">
        <f>VLOOKUP(R10,$AT$7:$BB$10,4,FALSE)</f>
        <v>0</v>
      </c>
      <c r="U10" s="49">
        <f>VLOOKUP(R10,$AT$7:$BB$10,8,FALSE)</f>
        <v>0</v>
      </c>
      <c r="V10" s="49">
        <f>VLOOKUP(R10,$AT$7:$BB$10,9,FALSE)</f>
        <v>0</v>
      </c>
      <c r="W10" s="49">
        <f t="shared" si="33"/>
        <v>0</v>
      </c>
      <c r="X10" s="49">
        <f>VLOOKUP(R10,$AT$7:$BC$10,10,FALSE)</f>
        <v>81</v>
      </c>
      <c r="Y10" s="130"/>
      <c r="Z10" s="176">
        <f>VLOOKUP(R10,$AT$7:$BE$10,12,FALSE)</f>
        <v>4</v>
      </c>
      <c r="AA10" s="177" t="str">
        <f t="shared" si="17"/>
        <v/>
      </c>
      <c r="AB10" s="177" t="str">
        <f t="shared" si="18"/>
        <v/>
      </c>
      <c r="AC10" s="177">
        <f t="shared" si="19"/>
        <v>0</v>
      </c>
      <c r="AD10" s="177">
        <f t="shared" si="20"/>
        <v>0</v>
      </c>
      <c r="AE10" s="177" t="e">
        <f t="shared" si="21"/>
        <v>#N/A</v>
      </c>
      <c r="AF10" s="177" t="e">
        <f t="shared" si="21"/>
        <v>#N/A</v>
      </c>
      <c r="AG10" s="177" t="e">
        <f t="shared" si="29"/>
        <v>#N/A</v>
      </c>
      <c r="AH10" s="177" t="e">
        <f t="shared" si="22"/>
        <v>#N/A</v>
      </c>
      <c r="AI10" s="177" t="e">
        <f t="shared" si="22"/>
        <v>#N/A</v>
      </c>
      <c r="AJ10" s="177" t="e">
        <f t="shared" si="30"/>
        <v>#N/A</v>
      </c>
      <c r="AK10" s="177" t="e">
        <f t="shared" si="23"/>
        <v>#N/A</v>
      </c>
      <c r="AL10" s="177" t="e">
        <f t="shared" si="23"/>
        <v>#N/A</v>
      </c>
      <c r="AM10" s="177" t="e">
        <f t="shared" si="31"/>
        <v>#N/A</v>
      </c>
      <c r="AN10" s="177" t="e">
        <f t="shared" si="24"/>
        <v>#N/A</v>
      </c>
      <c r="AO10" s="177" t="e">
        <f t="shared" si="25"/>
        <v>#N/A</v>
      </c>
      <c r="AP10" s="177" t="e">
        <f t="shared" si="32"/>
        <v>#N/A</v>
      </c>
      <c r="AQ10" s="177" t="e">
        <f t="shared" si="26"/>
        <v>#N/A</v>
      </c>
      <c r="AR10" s="177" t="e">
        <f t="shared" si="27"/>
        <v>#N/A</v>
      </c>
      <c r="AS10" s="173">
        <f>RANK(BD10,$BD$7:$BD$10)</f>
        <v>2</v>
      </c>
      <c r="AT10" s="173" t="str">
        <f>VLOOKUP("A4",TeamTbl,2,FALSE)</f>
        <v>Saudi Arabia</v>
      </c>
      <c r="AU10" s="23" t="s">
        <v>161</v>
      </c>
      <c r="AV10" s="24">
        <f>COUNTIF(AA$4:AB$41,AT10)</f>
        <v>0</v>
      </c>
      <c r="AW10" s="23">
        <f>SUMIF($AA$6:$AB$41,AT10,$AC$6:$AD$41)</f>
        <v>0</v>
      </c>
      <c r="AX10" s="23">
        <f t="shared" si="34"/>
        <v>0</v>
      </c>
      <c r="AY10" s="25">
        <f t="shared" si="35"/>
        <v>11.1</v>
      </c>
      <c r="AZ10" s="23">
        <f>BA10-BB10</f>
        <v>0</v>
      </c>
      <c r="BA10" s="23">
        <f>SUMIF(I$6:J$41,AT10,K$6:L$41)</f>
        <v>0</v>
      </c>
      <c r="BB10" s="23">
        <f>SUMIF(I$6:J$41,AT10,L$6:M$41)</f>
        <v>0</v>
      </c>
      <c r="BC10" s="23">
        <f>VLOOKUP(AT10,Tbl,4,FALSE)</f>
        <v>63</v>
      </c>
      <c r="BD10" s="26">
        <f t="shared" si="36"/>
        <v>1111.03</v>
      </c>
      <c r="BE10" s="23">
        <f>COUNTIF($AW$7:$AW$10,AW10)</f>
        <v>4</v>
      </c>
      <c r="BF10" s="24">
        <f t="shared" si="37"/>
        <v>1</v>
      </c>
      <c r="BG10" s="23">
        <f>SUMIF($AA$6:$AB$41,AT10,$AQ$6:$AR$41)</f>
        <v>0</v>
      </c>
      <c r="BH10" s="23">
        <f t="shared" si="38"/>
        <v>0</v>
      </c>
      <c r="BI10" s="23">
        <f>SUMIFS($K$6:$L$41,$AA$6:$AB$41,AT10,$AN$6:$AO$41,"&gt;0")</f>
        <v>0</v>
      </c>
      <c r="BJ10" s="23">
        <f>SUMIFS($L$6:$M$41,$AA$6:$AB$41,AT10,$AN$6:$AO$41,"&gt;0")</f>
        <v>0</v>
      </c>
      <c r="BK10" s="27">
        <f t="shared" si="39"/>
        <v>11.1</v>
      </c>
      <c r="BL10" s="22" t="str">
        <f>IF(VLOOKUP(R10,$AT$7:$BJ$10,5,FALSE)&gt;0,VLOOKUP(R10,$AT$7:$BJ$10,14,FALSE),"")</f>
        <v/>
      </c>
      <c r="BM10" s="22" t="str">
        <f>IF(VLOOKUP(R10,$AT$7:$BJ$10,5,FALSE)&gt;0,VLOOKUP(R10,$AT$7:$BJ$10,16,FALSE),"")</f>
        <v/>
      </c>
      <c r="BN10" s="22" t="str">
        <f>IF(VLOOKUP(R10,$AT$7:$BJ$10,5,FALSE)&gt;0,VLOOKUP(R10,$AT$7:$BJ$10,17,FALSE),"")</f>
        <v/>
      </c>
      <c r="BO10" s="22" t="str">
        <f t="shared" si="40"/>
        <v/>
      </c>
      <c r="BP10" s="116"/>
    </row>
    <row r="11" spans="1:68" ht="15" customHeight="1" thickBot="1">
      <c r="B11" s="38">
        <v>34</v>
      </c>
      <c r="C11" s="35">
        <v>43276.625</v>
      </c>
      <c r="D11" s="38" t="s">
        <v>197</v>
      </c>
      <c r="E11" s="38" t="s">
        <v>227</v>
      </c>
      <c r="F11" s="158"/>
      <c r="G11" s="159">
        <f>C11+TimesInd/24</f>
        <v>43276.770833333336</v>
      </c>
      <c r="H11" s="148" t="str">
        <f t="shared" si="28"/>
        <v>Mon</v>
      </c>
      <c r="I11" s="149" t="str">
        <f t="shared" si="14"/>
        <v>Uruguay</v>
      </c>
      <c r="J11" s="149" t="str">
        <f t="shared" si="15"/>
        <v>Russia</v>
      </c>
      <c r="K11" s="150"/>
      <c r="L11" s="151"/>
      <c r="M11" s="152">
        <f t="shared" si="16"/>
        <v>0</v>
      </c>
      <c r="N11" s="224"/>
      <c r="O11" s="225"/>
      <c r="P11" s="153"/>
      <c r="Q11" s="154"/>
      <c r="R11" s="155"/>
      <c r="S11" s="154"/>
      <c r="T11" s="154"/>
      <c r="U11" s="154"/>
      <c r="V11" s="154"/>
      <c r="W11" s="154"/>
      <c r="X11" s="154"/>
      <c r="Y11" s="154"/>
      <c r="Z11" s="178"/>
      <c r="AA11" s="179" t="str">
        <f t="shared" si="17"/>
        <v/>
      </c>
      <c r="AB11" s="179" t="str">
        <f t="shared" si="18"/>
        <v/>
      </c>
      <c r="AC11" s="179">
        <f t="shared" si="19"/>
        <v>0</v>
      </c>
      <c r="AD11" s="179">
        <f t="shared" si="20"/>
        <v>0</v>
      </c>
      <c r="AE11" s="179" t="e">
        <f t="shared" si="21"/>
        <v>#N/A</v>
      </c>
      <c r="AF11" s="179" t="e">
        <f t="shared" si="21"/>
        <v>#N/A</v>
      </c>
      <c r="AG11" s="179" t="e">
        <f t="shared" si="29"/>
        <v>#N/A</v>
      </c>
      <c r="AH11" s="179" t="e">
        <f t="shared" si="22"/>
        <v>#N/A</v>
      </c>
      <c r="AI11" s="179" t="e">
        <f t="shared" si="22"/>
        <v>#N/A</v>
      </c>
      <c r="AJ11" s="179" t="e">
        <f>IF(SUM(AH11:AI11)=2,1,0)</f>
        <v>#N/A</v>
      </c>
      <c r="AK11" s="179" t="e">
        <f t="shared" si="23"/>
        <v>#N/A</v>
      </c>
      <c r="AL11" s="179" t="e">
        <f t="shared" si="23"/>
        <v>#N/A</v>
      </c>
      <c r="AM11" s="179" t="e">
        <f t="shared" si="31"/>
        <v>#N/A</v>
      </c>
      <c r="AN11" s="179" t="e">
        <f t="shared" si="24"/>
        <v>#N/A</v>
      </c>
      <c r="AO11" s="179" t="e">
        <f t="shared" si="25"/>
        <v>#N/A</v>
      </c>
      <c r="AP11" s="179" t="e">
        <f t="shared" si="32"/>
        <v>#N/A</v>
      </c>
      <c r="AQ11" s="179" t="e">
        <f t="shared" si="26"/>
        <v>#N/A</v>
      </c>
      <c r="AR11" s="179" t="e">
        <f t="shared" si="27"/>
        <v>#N/A</v>
      </c>
      <c r="AS11" s="211"/>
      <c r="AT11" s="212"/>
      <c r="AU11" s="212"/>
      <c r="AV11" s="212"/>
      <c r="AW11" s="212"/>
      <c r="AX11" s="212"/>
      <c r="AY11" s="212"/>
      <c r="AZ11" s="212"/>
      <c r="BA11" s="212"/>
      <c r="BB11" s="212"/>
      <c r="BC11" s="212"/>
      <c r="BD11" s="213"/>
      <c r="BE11" s="113">
        <f>SUM(BE7:BE10)</f>
        <v>16</v>
      </c>
      <c r="BF11" s="114">
        <f>MIN(AW7:AW10)</f>
        <v>0</v>
      </c>
      <c r="BG11" s="114">
        <f>MAX(AW7:AW10)</f>
        <v>0</v>
      </c>
      <c r="BH11" s="211"/>
      <c r="BI11" s="212"/>
      <c r="BJ11" s="212"/>
      <c r="BK11" s="212"/>
      <c r="BL11" s="125"/>
      <c r="BM11" s="125"/>
      <c r="BN11" s="125"/>
      <c r="BO11" s="125"/>
      <c r="BP11" s="160"/>
    </row>
    <row r="12" spans="1:68" ht="15" customHeight="1" thickBot="1">
      <c r="B12" s="38">
        <v>4</v>
      </c>
      <c r="C12" s="35">
        <v>43266.666666666664</v>
      </c>
      <c r="D12" s="38" t="s">
        <v>201</v>
      </c>
      <c r="E12" s="38" t="s">
        <v>200</v>
      </c>
      <c r="F12" s="117"/>
      <c r="G12" s="157">
        <f>C12+TimesInd/24</f>
        <v>43266.8125</v>
      </c>
      <c r="H12" s="136" t="str">
        <f t="shared" si="28"/>
        <v>Fri</v>
      </c>
      <c r="I12" s="137" t="str">
        <f t="shared" si="14"/>
        <v>Morocco</v>
      </c>
      <c r="J12" s="137" t="str">
        <f t="shared" si="15"/>
        <v>Iran</v>
      </c>
      <c r="K12" s="138"/>
      <c r="L12" s="139"/>
      <c r="M12" s="140">
        <f t="shared" si="16"/>
        <v>0</v>
      </c>
      <c r="N12" s="220" t="s">
        <v>162</v>
      </c>
      <c r="O12" s="221"/>
      <c r="P12" s="141"/>
      <c r="Q12" s="142"/>
      <c r="R12" s="143"/>
      <c r="S12" s="142"/>
      <c r="T12" s="142"/>
      <c r="U12" s="142"/>
      <c r="V12" s="142"/>
      <c r="W12" s="142"/>
      <c r="X12" s="142"/>
      <c r="Y12" s="142"/>
      <c r="Z12" s="174"/>
      <c r="AA12" s="175" t="str">
        <f t="shared" si="17"/>
        <v/>
      </c>
      <c r="AB12" s="175" t="str">
        <f t="shared" si="18"/>
        <v/>
      </c>
      <c r="AC12" s="175">
        <f t="shared" si="19"/>
        <v>0</v>
      </c>
      <c r="AD12" s="175">
        <f t="shared" si="20"/>
        <v>0</v>
      </c>
      <c r="AE12" s="175" t="e">
        <f t="shared" ref="AE12:AF17" si="41">VLOOKUP(AA12,$AT$12:$BF$16,13,FALSE)</f>
        <v>#N/A</v>
      </c>
      <c r="AF12" s="175" t="e">
        <f t="shared" si="41"/>
        <v>#N/A</v>
      </c>
      <c r="AG12" s="175" t="e">
        <f t="shared" si="29"/>
        <v>#N/A</v>
      </c>
      <c r="AH12" s="175" t="e">
        <f t="shared" ref="AH12:AI17" si="42">IF(VLOOKUP(AA12,$AT$13:$BE$16,4,FALSE)=$BF$17,1,0)</f>
        <v>#N/A</v>
      </c>
      <c r="AI12" s="175" t="e">
        <f t="shared" si="42"/>
        <v>#N/A</v>
      </c>
      <c r="AJ12" s="175" t="e">
        <f t="shared" si="30"/>
        <v>#N/A</v>
      </c>
      <c r="AK12" s="175" t="e">
        <f t="shared" ref="AK12:AL17" si="43">IF(VLOOKUP(AA12,$AT$13:$BE$16,4,FALSE)=$BG$17,1,0)</f>
        <v>#N/A</v>
      </c>
      <c r="AL12" s="175" t="e">
        <f t="shared" si="43"/>
        <v>#N/A</v>
      </c>
      <c r="AM12" s="175" t="e">
        <f t="shared" si="31"/>
        <v>#N/A</v>
      </c>
      <c r="AN12" s="175" t="e">
        <f t="shared" ref="AN12:AN17" si="44">IF(IndB=8,K12*AJ12+K12*AM12,AG12)</f>
        <v>#N/A</v>
      </c>
      <c r="AO12" s="175" t="e">
        <f t="shared" ref="AO12:AO17" si="45">IF(IndB=8,L12*AJ12+L12*AM12,AG12)</f>
        <v>#N/A</v>
      </c>
      <c r="AP12" s="175" t="e">
        <f t="shared" si="32"/>
        <v>#N/A</v>
      </c>
      <c r="AQ12" s="175" t="e">
        <f t="shared" ref="AQ12:AQ17" si="46">IF(IndB=8,AC12*AJ12+AC12*AM12,AG12)</f>
        <v>#N/A</v>
      </c>
      <c r="AR12" s="175" t="e">
        <f t="shared" ref="AR12:AR17" si="47">IF(IndB=8,AD12*AJ12+AD12*AM12,AG12)</f>
        <v>#N/A</v>
      </c>
      <c r="AS12" s="216" t="s">
        <v>159</v>
      </c>
      <c r="AT12" s="217" t="s">
        <v>3</v>
      </c>
      <c r="AU12" s="217" t="s">
        <v>172</v>
      </c>
      <c r="AV12" s="217" t="s">
        <v>86</v>
      </c>
      <c r="AW12" s="217" t="s">
        <v>5</v>
      </c>
      <c r="AX12" s="217" t="s">
        <v>187</v>
      </c>
      <c r="AY12" s="217" t="s">
        <v>180</v>
      </c>
      <c r="AZ12" s="217" t="s">
        <v>2</v>
      </c>
      <c r="BA12" s="217" t="s">
        <v>0</v>
      </c>
      <c r="BB12" s="217" t="s">
        <v>1</v>
      </c>
      <c r="BC12" s="217" t="s">
        <v>78</v>
      </c>
      <c r="BD12" s="218" t="s">
        <v>87</v>
      </c>
      <c r="BE12" s="144" t="s">
        <v>185</v>
      </c>
      <c r="BF12" s="145" t="s">
        <v>186</v>
      </c>
      <c r="BG12" s="145" t="s">
        <v>5</v>
      </c>
      <c r="BH12" s="216" t="s">
        <v>179</v>
      </c>
      <c r="BI12" s="217" t="s">
        <v>0</v>
      </c>
      <c r="BJ12" s="217" t="s">
        <v>1</v>
      </c>
      <c r="BK12" s="217" t="s">
        <v>184</v>
      </c>
      <c r="BL12" s="146"/>
      <c r="BM12" s="146"/>
      <c r="BN12" s="146"/>
      <c r="BO12" s="146"/>
      <c r="BP12" s="147"/>
    </row>
    <row r="13" spans="1:68" ht="15" customHeight="1">
      <c r="B13" s="38">
        <v>3</v>
      </c>
      <c r="C13" s="35">
        <v>43266.791666666664</v>
      </c>
      <c r="D13" s="38" t="s">
        <v>202</v>
      </c>
      <c r="E13" s="38" t="s">
        <v>203</v>
      </c>
      <c r="F13" s="119"/>
      <c r="G13" s="74">
        <f>C13+TimesInd/24</f>
        <v>43266.9375</v>
      </c>
      <c r="H13" s="75" t="str">
        <f t="shared" si="28"/>
        <v>Fri</v>
      </c>
      <c r="I13" s="76" t="str">
        <f t="shared" si="14"/>
        <v>Portugal</v>
      </c>
      <c r="J13" s="76" t="str">
        <f t="shared" si="15"/>
        <v>Spain</v>
      </c>
      <c r="K13" s="132"/>
      <c r="L13" s="133"/>
      <c r="M13" s="83">
        <f t="shared" si="16"/>
        <v>0</v>
      </c>
      <c r="N13" s="222"/>
      <c r="O13" s="223"/>
      <c r="P13" s="107" t="s">
        <v>202</v>
      </c>
      <c r="Q13" s="53">
        <v>1</v>
      </c>
      <c r="R13" s="54" t="str">
        <f>VLOOKUP(Q13,$AS$13:$AZ$16,2,FALSE)</f>
        <v>Morocco</v>
      </c>
      <c r="S13" s="53">
        <f>VLOOKUP(R13,$AT$13:$BB$16,3,FALSE)</f>
        <v>0</v>
      </c>
      <c r="T13" s="53">
        <f>VLOOKUP(R13,$AT$13:$BB$16,4,FALSE)</f>
        <v>0</v>
      </c>
      <c r="U13" s="53">
        <f>VLOOKUP(R13,$AT$13:$BB$16,8,FALSE)</f>
        <v>0</v>
      </c>
      <c r="V13" s="53">
        <f>VLOOKUP(R13,$AT$13:$BB$16,9,FALSE)</f>
        <v>0</v>
      </c>
      <c r="W13" s="53">
        <f>U13-V13</f>
        <v>0</v>
      </c>
      <c r="X13" s="53">
        <f>VLOOKUP(R13,$AT$13:$BC$16,10,FALSE)</f>
        <v>10</v>
      </c>
      <c r="Y13" s="130"/>
      <c r="Z13" s="176">
        <f>VLOOKUP(R13,$AT$13:$BE$16,12,FALSE)</f>
        <v>4</v>
      </c>
      <c r="AA13" s="177" t="str">
        <f t="shared" si="17"/>
        <v/>
      </c>
      <c r="AB13" s="177" t="str">
        <f t="shared" si="18"/>
        <v/>
      </c>
      <c r="AC13" s="177">
        <f t="shared" si="19"/>
        <v>0</v>
      </c>
      <c r="AD13" s="177">
        <f t="shared" si="20"/>
        <v>0</v>
      </c>
      <c r="AE13" s="177" t="e">
        <f t="shared" si="41"/>
        <v>#N/A</v>
      </c>
      <c r="AF13" s="177" t="e">
        <f t="shared" si="41"/>
        <v>#N/A</v>
      </c>
      <c r="AG13" s="177" t="e">
        <f t="shared" si="29"/>
        <v>#N/A</v>
      </c>
      <c r="AH13" s="177" t="e">
        <f t="shared" si="42"/>
        <v>#N/A</v>
      </c>
      <c r="AI13" s="177" t="e">
        <f t="shared" si="42"/>
        <v>#N/A</v>
      </c>
      <c r="AJ13" s="177" t="e">
        <f t="shared" ref="AJ13:AJ17" si="48">IF(SUM(AH13:AI13)=2,1,0)</f>
        <v>#N/A</v>
      </c>
      <c r="AK13" s="177" t="e">
        <f t="shared" si="43"/>
        <v>#N/A</v>
      </c>
      <c r="AL13" s="177" t="e">
        <f t="shared" si="43"/>
        <v>#N/A</v>
      </c>
      <c r="AM13" s="177" t="e">
        <f t="shared" ref="AM13:AM17" si="49">IF(SUM(AK13:AL13)=2,1,0)</f>
        <v>#N/A</v>
      </c>
      <c r="AN13" s="177" t="e">
        <f t="shared" si="44"/>
        <v>#N/A</v>
      </c>
      <c r="AO13" s="177" t="e">
        <f t="shared" si="45"/>
        <v>#N/A</v>
      </c>
      <c r="AP13" s="177" t="e">
        <f t="shared" ref="AP13:AP17" si="50">AN13</f>
        <v>#N/A</v>
      </c>
      <c r="AQ13" s="177" t="e">
        <f t="shared" si="46"/>
        <v>#N/A</v>
      </c>
      <c r="AR13" s="177" t="e">
        <f t="shared" si="47"/>
        <v>#N/A</v>
      </c>
      <c r="AS13" s="173">
        <f>RANK(BD13,$BD$13:$BD$16)</f>
        <v>3</v>
      </c>
      <c r="AT13" s="173" t="str">
        <f>VLOOKUP("B1",TeamTbl,2,FALSE)</f>
        <v>Portugal</v>
      </c>
      <c r="AU13" s="23" t="s">
        <v>162</v>
      </c>
      <c r="AV13" s="24">
        <f>COUNTIF(AA$4:AB$41,AT13)</f>
        <v>0</v>
      </c>
      <c r="AW13" s="23">
        <f>SUMIF($AA$6:$AB$41,AT13,$AC$6:$AD$41)</f>
        <v>0</v>
      </c>
      <c r="AX13" s="23">
        <f t="shared" si="34"/>
        <v>0</v>
      </c>
      <c r="AY13" s="25">
        <f>BK13</f>
        <v>11.1</v>
      </c>
      <c r="AZ13" s="23">
        <f>BA13-BB13</f>
        <v>0</v>
      </c>
      <c r="BA13" s="23">
        <f>SUMIF(I$6:J$41,AT13,K$6:L$41)</f>
        <v>0</v>
      </c>
      <c r="BB13" s="23">
        <f>SUMIF(I$6:J$41,AT13,L$6:M$41)</f>
        <v>0</v>
      </c>
      <c r="BC13" s="23">
        <f>VLOOKUP(AT13,Tbl,4,FALSE)</f>
        <v>84</v>
      </c>
      <c r="BD13" s="26">
        <f>RANK(AW13,$AW$13:$AW$16,1)*1000+RANK(AY13,$AY$13:$AY$16,1)+RANK(AZ13,$AZ$13:$AZ$16,1)*100+RANK(BA13,$BA$13:$BA$16,1)*10+RANK(BC13,$BC$13:$BC$16,0)*0.01</f>
        <v>1111.02</v>
      </c>
      <c r="BE13" s="23">
        <f>COUNTIF($AW$13:$AW$16,AW13)</f>
        <v>4</v>
      </c>
      <c r="BF13" s="24">
        <f>IF(BE13=1,0,1)</f>
        <v>1</v>
      </c>
      <c r="BG13" s="23">
        <f>SUMIF($AA$6:$AB$41,AT13,$AQ$6:$AR$41)</f>
        <v>0</v>
      </c>
      <c r="BH13" s="23">
        <f>BI13-BJ13</f>
        <v>0</v>
      </c>
      <c r="BI13" s="23">
        <f>SUMIFS($K$6:$L$41,$AA$6:$AB$41,AT13,$AN$6:$AO$41,"&gt;0")</f>
        <v>0</v>
      </c>
      <c r="BJ13" s="23">
        <f>SUMIFS($L$6:$M$41,$AA$6:$AB$41,AT13,$AN$6:$AO$41,"&gt;0")</f>
        <v>0</v>
      </c>
      <c r="BK13" s="25">
        <f>RANK(BG13,$BG$13:$BG$16,1)*10+RANK(BH13,$BH$13:$BH$16,1)+RANK(BI13,$BI$13:$BI$16,1)*0.1</f>
        <v>11.1</v>
      </c>
      <c r="BL13" s="22" t="str">
        <f>IF(VLOOKUP(R13,$AT$13:$BJ$16,5,FALSE)&gt;0,VLOOKUP(R13,$AT$13:$BJ$16,14,FALSE),"")</f>
        <v/>
      </c>
      <c r="BM13" s="22" t="str">
        <f>IF(VLOOKUP(R13,$AT$13:$BJ$16,5,FALSE)&gt;0,VLOOKUP(R13,$AT$13:$BJ$16,16,FALSE),"")</f>
        <v/>
      </c>
      <c r="BN13" s="22" t="str">
        <f>IF(VLOOKUP(R13,$AT$13:$BJ$16,5,FALSE)&gt;0,VLOOKUP(R13,$AT$13:$BJ$16,17,FALSE),"")</f>
        <v/>
      </c>
      <c r="BO13" s="22" t="str">
        <f>IF(BL13&lt;&gt;"",BM13-BN13,"")</f>
        <v/>
      </c>
      <c r="BP13" s="116"/>
    </row>
    <row r="14" spans="1:68" ht="15" customHeight="1">
      <c r="B14" s="38">
        <v>19</v>
      </c>
      <c r="C14" s="35">
        <v>43271.541666666664</v>
      </c>
      <c r="D14" s="38" t="s">
        <v>202</v>
      </c>
      <c r="E14" s="38" t="s">
        <v>201</v>
      </c>
      <c r="F14" s="119"/>
      <c r="G14" s="74">
        <f>C14+TimesInd/24</f>
        <v>43271.6875</v>
      </c>
      <c r="H14" s="75" t="str">
        <f t="shared" si="28"/>
        <v>Wed</v>
      </c>
      <c r="I14" s="76" t="str">
        <f t="shared" si="14"/>
        <v>Portugal</v>
      </c>
      <c r="J14" s="76" t="str">
        <f t="shared" si="15"/>
        <v>Morocco</v>
      </c>
      <c r="K14" s="132"/>
      <c r="L14" s="133"/>
      <c r="M14" s="83">
        <f t="shared" si="16"/>
        <v>0</v>
      </c>
      <c r="N14" s="222"/>
      <c r="O14" s="223"/>
      <c r="P14" s="107" t="s">
        <v>203</v>
      </c>
      <c r="Q14" s="53">
        <v>2</v>
      </c>
      <c r="R14" s="54" t="str">
        <f>VLOOKUP(Q14,$AS$13:$AZ$16,2,FALSE)</f>
        <v>Iran</v>
      </c>
      <c r="S14" s="53">
        <f>VLOOKUP(R14,$AT$13:$BB$16,3,FALSE)</f>
        <v>0</v>
      </c>
      <c r="T14" s="53">
        <f>VLOOKUP(R14,$AT$13:$BB$16,4,FALSE)</f>
        <v>0</v>
      </c>
      <c r="U14" s="53">
        <f>VLOOKUP(R14,$AT$13:$BB$16,8,FALSE)</f>
        <v>0</v>
      </c>
      <c r="V14" s="53">
        <f>VLOOKUP(R14,$AT$13:$BB$16,9,FALSE)</f>
        <v>0</v>
      </c>
      <c r="W14" s="53">
        <f t="shared" ref="W14:W16" si="51">U14-V14</f>
        <v>0</v>
      </c>
      <c r="X14" s="53">
        <f>VLOOKUP(R14,$AT$13:$BC$16,10,FALSE)</f>
        <v>68</v>
      </c>
      <c r="Y14" s="130"/>
      <c r="Z14" s="176">
        <f>VLOOKUP(R14,$AT$13:$BE$16,12,FALSE)</f>
        <v>4</v>
      </c>
      <c r="AA14" s="177" t="str">
        <f t="shared" si="17"/>
        <v/>
      </c>
      <c r="AB14" s="177" t="str">
        <f t="shared" si="18"/>
        <v/>
      </c>
      <c r="AC14" s="177">
        <f t="shared" si="19"/>
        <v>0</v>
      </c>
      <c r="AD14" s="177">
        <f t="shared" si="20"/>
        <v>0</v>
      </c>
      <c r="AE14" s="177" t="e">
        <f t="shared" si="41"/>
        <v>#N/A</v>
      </c>
      <c r="AF14" s="177" t="e">
        <f t="shared" si="41"/>
        <v>#N/A</v>
      </c>
      <c r="AG14" s="177" t="e">
        <f t="shared" si="29"/>
        <v>#N/A</v>
      </c>
      <c r="AH14" s="177" t="e">
        <f t="shared" si="42"/>
        <v>#N/A</v>
      </c>
      <c r="AI14" s="177" t="e">
        <f t="shared" si="42"/>
        <v>#N/A</v>
      </c>
      <c r="AJ14" s="177" t="e">
        <f t="shared" si="48"/>
        <v>#N/A</v>
      </c>
      <c r="AK14" s="177" t="e">
        <f t="shared" si="43"/>
        <v>#N/A</v>
      </c>
      <c r="AL14" s="177" t="e">
        <f t="shared" si="43"/>
        <v>#N/A</v>
      </c>
      <c r="AM14" s="177" t="e">
        <f t="shared" si="49"/>
        <v>#N/A</v>
      </c>
      <c r="AN14" s="177" t="e">
        <f t="shared" si="44"/>
        <v>#N/A</v>
      </c>
      <c r="AO14" s="177" t="e">
        <f t="shared" si="45"/>
        <v>#N/A</v>
      </c>
      <c r="AP14" s="177" t="e">
        <f t="shared" si="50"/>
        <v>#N/A</v>
      </c>
      <c r="AQ14" s="177" t="e">
        <f t="shared" si="46"/>
        <v>#N/A</v>
      </c>
      <c r="AR14" s="177" t="e">
        <f t="shared" si="47"/>
        <v>#N/A</v>
      </c>
      <c r="AS14" s="173">
        <f t="shared" ref="AS14:AS16" si="52">RANK(BD14,$BD$13:$BD$16)</f>
        <v>4</v>
      </c>
      <c r="AT14" s="173" t="str">
        <f>VLOOKUP("B2",TeamTbl,2,FALSE)</f>
        <v>Spain</v>
      </c>
      <c r="AU14" s="23" t="s">
        <v>162</v>
      </c>
      <c r="AV14" s="24">
        <f>COUNTIF(AA$4:AB$41,AT14)</f>
        <v>0</v>
      </c>
      <c r="AW14" s="23">
        <f>SUMIF($AA$6:$AB$41,AT14,$AC$6:$AD$41)</f>
        <v>0</v>
      </c>
      <c r="AX14" s="23">
        <f t="shared" si="34"/>
        <v>0</v>
      </c>
      <c r="AY14" s="25">
        <f t="shared" ref="AY14:AY16" si="53">BK14</f>
        <v>11.1</v>
      </c>
      <c r="AZ14" s="23">
        <f t="shared" ref="AZ14:AZ16" si="54">BA14-BB14</f>
        <v>0</v>
      </c>
      <c r="BA14" s="23">
        <f>SUMIF(I$6:J$41,AT14,K$6:L$41)</f>
        <v>0</v>
      </c>
      <c r="BB14" s="23">
        <f>SUMIF(I$6:J$41,AT14,L$6:M$41)</f>
        <v>0</v>
      </c>
      <c r="BC14" s="23">
        <f>VLOOKUP(AT14,Tbl,4,FALSE)</f>
        <v>91</v>
      </c>
      <c r="BD14" s="26">
        <f t="shared" ref="BD14:BD16" si="55">RANK(AW14,$AW$13:$AW$16,1)*1000+RANK(AY14,$AY$13:$AY$16,1)+RANK(AZ14,$AZ$13:$AZ$16,1)*100+RANK(BA14,$BA$13:$BA$16,1)*10+RANK(BC14,$BC$13:$BC$16,0)*0.01</f>
        <v>1111.01</v>
      </c>
      <c r="BE14" s="23">
        <f t="shared" ref="BE14:BE16" si="56">COUNTIF($AW$13:$AW$16,AW14)</f>
        <v>4</v>
      </c>
      <c r="BF14" s="24">
        <f t="shared" ref="BF14:BF16" si="57">IF(BE14=1,0,1)</f>
        <v>1</v>
      </c>
      <c r="BG14" s="23">
        <f>SUMIF($AA$6:$AB$41,AT14,$AQ$6:$AR$41)</f>
        <v>0</v>
      </c>
      <c r="BH14" s="23">
        <f t="shared" ref="BH14:BH16" si="58">BI14-BJ14</f>
        <v>0</v>
      </c>
      <c r="BI14" s="23">
        <f>SUMIFS($K$6:$L$41,$AA$6:$AB$41,AT14,$AN$6:$AO$41,"&gt;0")</f>
        <v>0</v>
      </c>
      <c r="BJ14" s="23">
        <f>SUMIFS($L$6:$M$41,$AA$6:$AB$41,AT14,$AN$6:$AO$41,"&gt;0")</f>
        <v>0</v>
      </c>
      <c r="BK14" s="25">
        <f t="shared" ref="BK14:BK16" si="59">RANK(BG14,$BG$13:$BG$16,1)*10+RANK(BH14,$BH$13:$BH$16,1)+RANK(BI14,$BI$13:$BI$16,1)*0.1</f>
        <v>11.1</v>
      </c>
      <c r="BL14" s="22" t="str">
        <f>IF(VLOOKUP(R14,$AT$13:$BJ$16,5,FALSE)&gt;0,VLOOKUP(R14,$AT$13:$BJ$16,14,FALSE),"")</f>
        <v/>
      </c>
      <c r="BM14" s="22" t="str">
        <f>IF(VLOOKUP(R14,$AT$13:$BJ$16,5,FALSE)&gt;0,VLOOKUP(R14,$AT$13:$BJ$16,16,FALSE),"")</f>
        <v/>
      </c>
      <c r="BN14" s="22" t="str">
        <f>IF(VLOOKUP(R14,$AT$13:$BJ$16,5,FALSE)&gt;0,VLOOKUP(R14,$AT$13:$BJ$16,17,FALSE),"")</f>
        <v/>
      </c>
      <c r="BO14" s="22" t="str">
        <f t="shared" ref="BO14:BO16" si="60">IF(BL14&lt;&gt;"",BM14-BN14,"")</f>
        <v/>
      </c>
      <c r="BP14" s="116"/>
    </row>
    <row r="15" spans="1:68" ht="15" customHeight="1">
      <c r="B15" s="38">
        <v>20</v>
      </c>
      <c r="C15" s="35">
        <v>43271.791666666664</v>
      </c>
      <c r="D15" s="38" t="s">
        <v>200</v>
      </c>
      <c r="E15" s="38" t="s">
        <v>203</v>
      </c>
      <c r="F15" s="119"/>
      <c r="G15" s="74">
        <f>C15+TimesInd/24</f>
        <v>43271.9375</v>
      </c>
      <c r="H15" s="75" t="str">
        <f t="shared" si="28"/>
        <v>Wed</v>
      </c>
      <c r="I15" s="76" t="str">
        <f t="shared" si="14"/>
        <v>Iran</v>
      </c>
      <c r="J15" s="76" t="str">
        <f t="shared" si="15"/>
        <v>Spain</v>
      </c>
      <c r="K15" s="132"/>
      <c r="L15" s="133"/>
      <c r="M15" s="83">
        <f t="shared" si="16"/>
        <v>0</v>
      </c>
      <c r="N15" s="222"/>
      <c r="O15" s="223"/>
      <c r="P15" s="107" t="s">
        <v>200</v>
      </c>
      <c r="Q15" s="49">
        <v>3</v>
      </c>
      <c r="R15" s="50" t="str">
        <f>VLOOKUP(Q15,$AS$13:$AZ$16,2,FALSE)</f>
        <v>Portugal</v>
      </c>
      <c r="S15" s="49">
        <f>VLOOKUP(R15,$AT$13:$BB$16,3,FALSE)</f>
        <v>0</v>
      </c>
      <c r="T15" s="49">
        <f>VLOOKUP(R15,$AT$13:$BB$16,4,FALSE)</f>
        <v>0</v>
      </c>
      <c r="U15" s="49">
        <f>VLOOKUP(R15,$AT$13:$BB$16,8,FALSE)</f>
        <v>0</v>
      </c>
      <c r="V15" s="49">
        <f>VLOOKUP(R15,$AT$13:$BB$16,9,FALSE)</f>
        <v>0</v>
      </c>
      <c r="W15" s="49">
        <f t="shared" si="51"/>
        <v>0</v>
      </c>
      <c r="X15" s="49">
        <f>VLOOKUP(R15,$AT$13:$BC$16,10,FALSE)</f>
        <v>84</v>
      </c>
      <c r="Y15" s="130"/>
      <c r="Z15" s="176">
        <f>VLOOKUP(R15,$AT$13:$BE$16,12,FALSE)</f>
        <v>4</v>
      </c>
      <c r="AA15" s="177" t="str">
        <f t="shared" si="17"/>
        <v/>
      </c>
      <c r="AB15" s="177" t="str">
        <f t="shared" si="18"/>
        <v/>
      </c>
      <c r="AC15" s="177">
        <f t="shared" si="19"/>
        <v>0</v>
      </c>
      <c r="AD15" s="177">
        <f t="shared" si="20"/>
        <v>0</v>
      </c>
      <c r="AE15" s="177" t="e">
        <f t="shared" si="41"/>
        <v>#N/A</v>
      </c>
      <c r="AF15" s="177" t="e">
        <f t="shared" si="41"/>
        <v>#N/A</v>
      </c>
      <c r="AG15" s="177" t="e">
        <f t="shared" si="29"/>
        <v>#N/A</v>
      </c>
      <c r="AH15" s="177" t="e">
        <f t="shared" si="42"/>
        <v>#N/A</v>
      </c>
      <c r="AI15" s="177" t="e">
        <f t="shared" si="42"/>
        <v>#N/A</v>
      </c>
      <c r="AJ15" s="177" t="e">
        <f t="shared" si="48"/>
        <v>#N/A</v>
      </c>
      <c r="AK15" s="177" t="e">
        <f t="shared" si="43"/>
        <v>#N/A</v>
      </c>
      <c r="AL15" s="177" t="e">
        <f t="shared" si="43"/>
        <v>#N/A</v>
      </c>
      <c r="AM15" s="177" t="e">
        <f t="shared" si="49"/>
        <v>#N/A</v>
      </c>
      <c r="AN15" s="177" t="e">
        <f t="shared" si="44"/>
        <v>#N/A</v>
      </c>
      <c r="AO15" s="177" t="e">
        <f t="shared" si="45"/>
        <v>#N/A</v>
      </c>
      <c r="AP15" s="177" t="e">
        <f t="shared" si="50"/>
        <v>#N/A</v>
      </c>
      <c r="AQ15" s="177" t="e">
        <f t="shared" si="46"/>
        <v>#N/A</v>
      </c>
      <c r="AR15" s="177" t="e">
        <f t="shared" si="47"/>
        <v>#N/A</v>
      </c>
      <c r="AS15" s="173">
        <f t="shared" si="52"/>
        <v>2</v>
      </c>
      <c r="AT15" s="173" t="str">
        <f>VLOOKUP("B3",TeamTbl,2,FALSE)</f>
        <v>Iran</v>
      </c>
      <c r="AU15" s="23" t="s">
        <v>162</v>
      </c>
      <c r="AV15" s="24">
        <f>COUNTIF(AA$4:AB$41,AT15)</f>
        <v>0</v>
      </c>
      <c r="AW15" s="23">
        <f>SUMIF($AA$6:$AB$41,AT15,$AC$6:$AD$41)</f>
        <v>0</v>
      </c>
      <c r="AX15" s="23">
        <f t="shared" si="34"/>
        <v>0</v>
      </c>
      <c r="AY15" s="25">
        <f t="shared" si="53"/>
        <v>11.1</v>
      </c>
      <c r="AZ15" s="23">
        <f t="shared" si="54"/>
        <v>0</v>
      </c>
      <c r="BA15" s="23">
        <f>SUMIF(I$6:J$41,AT15,K$6:L$41)</f>
        <v>0</v>
      </c>
      <c r="BB15" s="23">
        <f>SUMIF(I$6:J$41,AT15,L$6:M$41)</f>
        <v>0</v>
      </c>
      <c r="BC15" s="23">
        <f>VLOOKUP(AT15,Tbl,4,FALSE)</f>
        <v>68</v>
      </c>
      <c r="BD15" s="26">
        <f t="shared" si="55"/>
        <v>1111.03</v>
      </c>
      <c r="BE15" s="23">
        <f t="shared" si="56"/>
        <v>4</v>
      </c>
      <c r="BF15" s="24">
        <f t="shared" si="57"/>
        <v>1</v>
      </c>
      <c r="BG15" s="23">
        <f>SUMIF($AA$6:$AB$41,AT15,$AQ$6:$AR$41)</f>
        <v>0</v>
      </c>
      <c r="BH15" s="23">
        <f t="shared" si="58"/>
        <v>0</v>
      </c>
      <c r="BI15" s="23">
        <f>SUMIFS($K$6:$L$41,$AA$6:$AB$41,AT15,$AN$6:$AO$41,"&gt;0")</f>
        <v>0</v>
      </c>
      <c r="BJ15" s="23">
        <f>SUMIFS($L$6:$M$41,$AA$6:$AB$41,AT15,$AN$6:$AO$41,"&gt;0")</f>
        <v>0</v>
      </c>
      <c r="BK15" s="25">
        <f t="shared" si="59"/>
        <v>11.1</v>
      </c>
      <c r="BL15" s="22" t="str">
        <f>IF(VLOOKUP(R15,$AT$13:$BJ$16,5,FALSE)&gt;0,VLOOKUP(R15,$AT$13:$BJ$16,14,FALSE),"")</f>
        <v/>
      </c>
      <c r="BM15" s="22" t="str">
        <f>IF(VLOOKUP(R15,$AT$13:$BJ$16,5,FALSE)&gt;0,VLOOKUP(R15,$AT$13:$BJ$16,16,FALSE),"")</f>
        <v/>
      </c>
      <c r="BN15" s="22" t="str">
        <f>IF(VLOOKUP(R15,$AT$13:$BJ$16,5,FALSE)&gt;0,VLOOKUP(R15,$AT$13:$BJ$16,17,FALSE),"")</f>
        <v/>
      </c>
      <c r="BO15" s="22" t="str">
        <f t="shared" si="60"/>
        <v/>
      </c>
      <c r="BP15" s="116"/>
    </row>
    <row r="16" spans="1:68" ht="15" customHeight="1">
      <c r="B16" s="38">
        <v>35</v>
      </c>
      <c r="C16" s="35">
        <v>43276.791666666664</v>
      </c>
      <c r="D16" s="38" t="s">
        <v>200</v>
      </c>
      <c r="E16" s="38" t="s">
        <v>202</v>
      </c>
      <c r="F16" s="119"/>
      <c r="G16" s="74">
        <f>C16+TimesInd/24</f>
        <v>43276.9375</v>
      </c>
      <c r="H16" s="75" t="str">
        <f t="shared" si="28"/>
        <v>Mon</v>
      </c>
      <c r="I16" s="76" t="str">
        <f t="shared" si="14"/>
        <v>Iran</v>
      </c>
      <c r="J16" s="76" t="str">
        <f t="shared" si="15"/>
        <v>Portugal</v>
      </c>
      <c r="K16" s="132"/>
      <c r="L16" s="133"/>
      <c r="M16" s="83">
        <f t="shared" si="16"/>
        <v>0</v>
      </c>
      <c r="N16" s="222"/>
      <c r="O16" s="223"/>
      <c r="P16" s="107" t="s">
        <v>201</v>
      </c>
      <c r="Q16" s="49">
        <v>4</v>
      </c>
      <c r="R16" s="50" t="str">
        <f>VLOOKUP(Q16,$AS$13:$AZ$16,2,FALSE)</f>
        <v>Spain</v>
      </c>
      <c r="S16" s="49">
        <f>VLOOKUP(R16,$AT$13:$BB$16,3,FALSE)</f>
        <v>0</v>
      </c>
      <c r="T16" s="49">
        <f>VLOOKUP(R16,$AT$13:$BB$16,4,FALSE)</f>
        <v>0</v>
      </c>
      <c r="U16" s="49">
        <f>VLOOKUP(R16,$AT$13:$BB$16,8,FALSE)</f>
        <v>0</v>
      </c>
      <c r="V16" s="49">
        <f>VLOOKUP(R16,$AT$13:$BB$16,9,FALSE)</f>
        <v>0</v>
      </c>
      <c r="W16" s="49">
        <f t="shared" si="51"/>
        <v>0</v>
      </c>
      <c r="X16" s="49">
        <f>VLOOKUP(R16,$AT$13:$BC$16,10,FALSE)</f>
        <v>91</v>
      </c>
      <c r="Y16" s="130"/>
      <c r="Z16" s="176">
        <f>VLOOKUP(R16,$AT$13:$BE$16,12,FALSE)</f>
        <v>4</v>
      </c>
      <c r="AA16" s="177" t="str">
        <f t="shared" si="17"/>
        <v/>
      </c>
      <c r="AB16" s="177" t="str">
        <f t="shared" si="18"/>
        <v/>
      </c>
      <c r="AC16" s="177">
        <f t="shared" si="19"/>
        <v>0</v>
      </c>
      <c r="AD16" s="177">
        <f t="shared" si="20"/>
        <v>0</v>
      </c>
      <c r="AE16" s="177" t="e">
        <f t="shared" si="41"/>
        <v>#N/A</v>
      </c>
      <c r="AF16" s="177" t="e">
        <f t="shared" si="41"/>
        <v>#N/A</v>
      </c>
      <c r="AG16" s="177" t="e">
        <f t="shared" si="29"/>
        <v>#N/A</v>
      </c>
      <c r="AH16" s="177" t="e">
        <f t="shared" si="42"/>
        <v>#N/A</v>
      </c>
      <c r="AI16" s="177" t="e">
        <f t="shared" si="42"/>
        <v>#N/A</v>
      </c>
      <c r="AJ16" s="177" t="e">
        <f t="shared" si="48"/>
        <v>#N/A</v>
      </c>
      <c r="AK16" s="177" t="e">
        <f t="shared" si="43"/>
        <v>#N/A</v>
      </c>
      <c r="AL16" s="177" t="e">
        <f t="shared" si="43"/>
        <v>#N/A</v>
      </c>
      <c r="AM16" s="177" t="e">
        <f t="shared" si="49"/>
        <v>#N/A</v>
      </c>
      <c r="AN16" s="177" t="e">
        <f t="shared" si="44"/>
        <v>#N/A</v>
      </c>
      <c r="AO16" s="177" t="e">
        <f t="shared" si="45"/>
        <v>#N/A</v>
      </c>
      <c r="AP16" s="177" t="e">
        <f t="shared" si="50"/>
        <v>#N/A</v>
      </c>
      <c r="AQ16" s="177" t="e">
        <f t="shared" si="46"/>
        <v>#N/A</v>
      </c>
      <c r="AR16" s="177" t="e">
        <f t="shared" si="47"/>
        <v>#N/A</v>
      </c>
      <c r="AS16" s="173">
        <f t="shared" si="52"/>
        <v>1</v>
      </c>
      <c r="AT16" s="173" t="str">
        <f>VLOOKUP("B4",TeamTbl,2,FALSE)</f>
        <v>Morocco</v>
      </c>
      <c r="AU16" s="23" t="s">
        <v>162</v>
      </c>
      <c r="AV16" s="24">
        <f>COUNTIF(AA$4:AB$41,AT16)</f>
        <v>0</v>
      </c>
      <c r="AW16" s="23">
        <f>SUMIF($AA$6:$AB$41,AT16,$AC$6:$AD$41)</f>
        <v>0</v>
      </c>
      <c r="AX16" s="23">
        <f t="shared" si="34"/>
        <v>0</v>
      </c>
      <c r="AY16" s="25">
        <f t="shared" si="53"/>
        <v>11.1</v>
      </c>
      <c r="AZ16" s="23">
        <f t="shared" si="54"/>
        <v>0</v>
      </c>
      <c r="BA16" s="23">
        <f>SUMIF(I$6:J$41,AT16,K$6:L$41)</f>
        <v>0</v>
      </c>
      <c r="BB16" s="23">
        <f>SUMIF(I$6:J$41,AT16,L$6:M$41)</f>
        <v>0</v>
      </c>
      <c r="BC16" s="23">
        <f>VLOOKUP(AT16,Tbl,4,FALSE)</f>
        <v>10</v>
      </c>
      <c r="BD16" s="26">
        <f t="shared" si="55"/>
        <v>1111.04</v>
      </c>
      <c r="BE16" s="23">
        <f t="shared" si="56"/>
        <v>4</v>
      </c>
      <c r="BF16" s="24">
        <f t="shared" si="57"/>
        <v>1</v>
      </c>
      <c r="BG16" s="23">
        <f>SUMIF($AA$6:$AB$41,AT16,$AQ$6:$AR$41)</f>
        <v>0</v>
      </c>
      <c r="BH16" s="23">
        <f t="shared" si="58"/>
        <v>0</v>
      </c>
      <c r="BI16" s="23">
        <f>SUMIFS($K$6:$L$41,$AA$6:$AB$41,AT16,$AN$6:$AO$41,"&gt;0")</f>
        <v>0</v>
      </c>
      <c r="BJ16" s="23">
        <f>SUMIFS($L$6:$M$41,$AA$6:$AB$41,AT16,$AN$6:$AO$41,"&gt;0")</f>
        <v>0</v>
      </c>
      <c r="BK16" s="25">
        <f t="shared" si="59"/>
        <v>11.1</v>
      </c>
      <c r="BL16" s="22" t="str">
        <f>IF(VLOOKUP(R16,$AT$13:$BJ$16,5,FALSE)&gt;0,VLOOKUP(R16,$AT$13:$BJ$16,14,FALSE),"")</f>
        <v/>
      </c>
      <c r="BM16" s="22" t="str">
        <f>IF(VLOOKUP(R16,$AT$13:$BJ$16,5,FALSE)&gt;0,VLOOKUP(R16,$AT$13:$BJ$16,16,FALSE),"")</f>
        <v/>
      </c>
      <c r="BN16" s="22" t="str">
        <f>IF(VLOOKUP(R16,$AT$13:$BJ$16,5,FALSE)&gt;0,VLOOKUP(R16,$AT$13:$BJ$16,17,FALSE),"")</f>
        <v/>
      </c>
      <c r="BO16" s="22" t="str">
        <f t="shared" si="60"/>
        <v/>
      </c>
      <c r="BP16" s="116"/>
    </row>
    <row r="17" spans="2:68" ht="15" customHeight="1" thickBot="1">
      <c r="B17" s="38">
        <v>36</v>
      </c>
      <c r="C17" s="35">
        <v>43276.791666666664</v>
      </c>
      <c r="D17" s="38" t="s">
        <v>203</v>
      </c>
      <c r="E17" s="38" t="s">
        <v>201</v>
      </c>
      <c r="F17" s="158"/>
      <c r="G17" s="159">
        <f>C17+TimesInd/24</f>
        <v>43276.9375</v>
      </c>
      <c r="H17" s="148" t="str">
        <f t="shared" si="28"/>
        <v>Mon</v>
      </c>
      <c r="I17" s="149" t="str">
        <f t="shared" si="14"/>
        <v>Spain</v>
      </c>
      <c r="J17" s="149" t="str">
        <f t="shared" si="15"/>
        <v>Morocco</v>
      </c>
      <c r="K17" s="150"/>
      <c r="L17" s="151"/>
      <c r="M17" s="152">
        <f t="shared" si="16"/>
        <v>0</v>
      </c>
      <c r="N17" s="224"/>
      <c r="O17" s="225"/>
      <c r="P17" s="153"/>
      <c r="Q17" s="154"/>
      <c r="R17" s="155"/>
      <c r="S17" s="154"/>
      <c r="T17" s="154"/>
      <c r="U17" s="154"/>
      <c r="V17" s="154"/>
      <c r="W17" s="154"/>
      <c r="X17" s="154"/>
      <c r="Y17" s="154"/>
      <c r="Z17" s="178"/>
      <c r="AA17" s="179" t="str">
        <f t="shared" si="17"/>
        <v/>
      </c>
      <c r="AB17" s="179" t="str">
        <f t="shared" si="18"/>
        <v/>
      </c>
      <c r="AC17" s="179">
        <f t="shared" si="19"/>
        <v>0</v>
      </c>
      <c r="AD17" s="179">
        <f t="shared" si="20"/>
        <v>0</v>
      </c>
      <c r="AE17" s="179" t="e">
        <f t="shared" si="41"/>
        <v>#N/A</v>
      </c>
      <c r="AF17" s="179" t="e">
        <f t="shared" si="41"/>
        <v>#N/A</v>
      </c>
      <c r="AG17" s="179" t="e">
        <f t="shared" si="29"/>
        <v>#N/A</v>
      </c>
      <c r="AH17" s="179" t="e">
        <f t="shared" si="42"/>
        <v>#N/A</v>
      </c>
      <c r="AI17" s="179" t="e">
        <f t="shared" si="42"/>
        <v>#N/A</v>
      </c>
      <c r="AJ17" s="179" t="e">
        <f t="shared" si="48"/>
        <v>#N/A</v>
      </c>
      <c r="AK17" s="179" t="e">
        <f t="shared" si="43"/>
        <v>#N/A</v>
      </c>
      <c r="AL17" s="179" t="e">
        <f t="shared" si="43"/>
        <v>#N/A</v>
      </c>
      <c r="AM17" s="179" t="e">
        <f t="shared" si="49"/>
        <v>#N/A</v>
      </c>
      <c r="AN17" s="179" t="e">
        <f t="shared" si="44"/>
        <v>#N/A</v>
      </c>
      <c r="AO17" s="179" t="e">
        <f t="shared" si="45"/>
        <v>#N/A</v>
      </c>
      <c r="AP17" s="179" t="e">
        <f t="shared" si="50"/>
        <v>#N/A</v>
      </c>
      <c r="AQ17" s="179" t="e">
        <f t="shared" si="46"/>
        <v>#N/A</v>
      </c>
      <c r="AR17" s="179" t="e">
        <f t="shared" si="47"/>
        <v>#N/A</v>
      </c>
      <c r="AS17" s="211"/>
      <c r="AT17" s="212"/>
      <c r="AU17" s="212"/>
      <c r="AV17" s="212"/>
      <c r="AW17" s="212"/>
      <c r="AX17" s="212"/>
      <c r="AY17" s="212"/>
      <c r="AZ17" s="212"/>
      <c r="BA17" s="212"/>
      <c r="BB17" s="212"/>
      <c r="BC17" s="212"/>
      <c r="BD17" s="213"/>
      <c r="BE17" s="113">
        <f>SUM(BE13:BE16)</f>
        <v>16</v>
      </c>
      <c r="BF17" s="114">
        <f>MIN(AW13:AW16)</f>
        <v>0</v>
      </c>
      <c r="BG17" s="114">
        <f>MAX(AW13:AW16)</f>
        <v>0</v>
      </c>
      <c r="BH17" s="211"/>
      <c r="BI17" s="212"/>
      <c r="BJ17" s="212"/>
      <c r="BK17" s="212"/>
      <c r="BL17" s="125"/>
      <c r="BM17" s="125"/>
      <c r="BN17" s="125"/>
      <c r="BO17" s="125"/>
      <c r="BP17" s="156"/>
    </row>
    <row r="18" spans="2:68" ht="15" customHeight="1" thickBot="1">
      <c r="B18" s="38">
        <v>5</v>
      </c>
      <c r="C18" s="35">
        <v>43267.458333333336</v>
      </c>
      <c r="D18" s="38" t="s">
        <v>204</v>
      </c>
      <c r="E18" s="38" t="s">
        <v>207</v>
      </c>
      <c r="F18" s="117"/>
      <c r="G18" s="157">
        <f>C18+TimesInd/24</f>
        <v>43267.604166666672</v>
      </c>
      <c r="H18" s="136" t="str">
        <f t="shared" si="28"/>
        <v>Sat</v>
      </c>
      <c r="I18" s="137" t="str">
        <f t="shared" si="14"/>
        <v>France</v>
      </c>
      <c r="J18" s="137" t="str">
        <f t="shared" si="15"/>
        <v>Australia</v>
      </c>
      <c r="K18" s="138"/>
      <c r="L18" s="139"/>
      <c r="M18" s="140">
        <f t="shared" si="16"/>
        <v>0</v>
      </c>
      <c r="N18" s="220" t="s">
        <v>163</v>
      </c>
      <c r="O18" s="221"/>
      <c r="P18" s="141"/>
      <c r="Q18" s="142"/>
      <c r="R18" s="143"/>
      <c r="S18" s="142"/>
      <c r="T18" s="142"/>
      <c r="U18" s="142"/>
      <c r="V18" s="142"/>
      <c r="W18" s="142"/>
      <c r="X18" s="142"/>
      <c r="Y18" s="142"/>
      <c r="Z18" s="174"/>
      <c r="AA18" s="175" t="str">
        <f t="shared" si="17"/>
        <v/>
      </c>
      <c r="AB18" s="175" t="str">
        <f t="shared" si="18"/>
        <v/>
      </c>
      <c r="AC18" s="175">
        <f t="shared" si="19"/>
        <v>0</v>
      </c>
      <c r="AD18" s="175">
        <f t="shared" si="20"/>
        <v>0</v>
      </c>
      <c r="AE18" s="175" t="e">
        <f t="shared" ref="AE18:AF23" si="61">VLOOKUP(AA18,$AT$18:$BF$22,13,FALSE)</f>
        <v>#N/A</v>
      </c>
      <c r="AF18" s="175" t="e">
        <f t="shared" si="61"/>
        <v>#N/A</v>
      </c>
      <c r="AG18" s="175" t="e">
        <f t="shared" si="29"/>
        <v>#N/A</v>
      </c>
      <c r="AH18" s="175" t="e">
        <f t="shared" ref="AH18:AI23" si="62">IF(VLOOKUP(AA18,$AT$19:$BE$22,4,FALSE)=$BF$23,1,0)</f>
        <v>#N/A</v>
      </c>
      <c r="AI18" s="175" t="e">
        <f t="shared" si="62"/>
        <v>#N/A</v>
      </c>
      <c r="AJ18" s="175" t="e">
        <f>IF(SUM(AH18:AI18)=2,1,0)</f>
        <v>#N/A</v>
      </c>
      <c r="AK18" s="175" t="e">
        <f t="shared" ref="AK18:AL23" si="63">IF(VLOOKUP(AA18,$AT$19:$BE$22,4,FALSE)=$BG$23,1,0)</f>
        <v>#N/A</v>
      </c>
      <c r="AL18" s="175" t="e">
        <f t="shared" si="63"/>
        <v>#N/A</v>
      </c>
      <c r="AM18" s="175" t="e">
        <f>IF(SUM(AK18:AL18)=2,1,0)</f>
        <v>#N/A</v>
      </c>
      <c r="AN18" s="175" t="e">
        <f t="shared" ref="AN18:AN23" si="64">IF(IndC=8,K18*AJ18+K18*AM18,AG18)</f>
        <v>#N/A</v>
      </c>
      <c r="AO18" s="175" t="e">
        <f>IF(IndC=8,L18*AJ18+L18*AM18,AG18)</f>
        <v>#N/A</v>
      </c>
      <c r="AP18" s="175" t="e">
        <f t="shared" ref="AP18" si="65">AN18</f>
        <v>#N/A</v>
      </c>
      <c r="AQ18" s="175" t="e">
        <f t="shared" ref="AQ18:AQ23" si="66">IF(IndC=8,AC18*AJ18+AC18*AM18,AG18)</f>
        <v>#N/A</v>
      </c>
      <c r="AR18" s="175" t="e">
        <f t="shared" ref="AR18:AR23" si="67">IF(IndC=8,AD18*AJ18+AD18*AM18,AG18)</f>
        <v>#N/A</v>
      </c>
      <c r="AS18" s="216" t="s">
        <v>159</v>
      </c>
      <c r="AT18" s="217" t="s">
        <v>3</v>
      </c>
      <c r="AU18" s="217" t="s">
        <v>172</v>
      </c>
      <c r="AV18" s="217" t="s">
        <v>86</v>
      </c>
      <c r="AW18" s="217" t="s">
        <v>5</v>
      </c>
      <c r="AX18" s="217" t="s">
        <v>187</v>
      </c>
      <c r="AY18" s="217" t="s">
        <v>180</v>
      </c>
      <c r="AZ18" s="217" t="s">
        <v>2</v>
      </c>
      <c r="BA18" s="217" t="s">
        <v>0</v>
      </c>
      <c r="BB18" s="217" t="s">
        <v>1</v>
      </c>
      <c r="BC18" s="217" t="s">
        <v>78</v>
      </c>
      <c r="BD18" s="218" t="s">
        <v>87</v>
      </c>
      <c r="BE18" s="144" t="s">
        <v>185</v>
      </c>
      <c r="BF18" s="145" t="s">
        <v>186</v>
      </c>
      <c r="BG18" s="145" t="s">
        <v>5</v>
      </c>
      <c r="BH18" s="216" t="s">
        <v>179</v>
      </c>
      <c r="BI18" s="217" t="s">
        <v>0</v>
      </c>
      <c r="BJ18" s="217" t="s">
        <v>1</v>
      </c>
      <c r="BK18" s="217" t="s">
        <v>184</v>
      </c>
      <c r="BL18" s="146"/>
      <c r="BM18" s="146"/>
      <c r="BN18" s="146"/>
      <c r="BO18" s="146"/>
      <c r="BP18" s="147"/>
    </row>
    <row r="19" spans="2:68" ht="15" customHeight="1">
      <c r="B19" s="38">
        <v>6</v>
      </c>
      <c r="C19" s="35">
        <v>43267.708333333336</v>
      </c>
      <c r="D19" s="38" t="s">
        <v>205</v>
      </c>
      <c r="E19" s="38" t="s">
        <v>206</v>
      </c>
      <c r="F19" s="119"/>
      <c r="G19" s="74">
        <f>C19+TimesInd/24</f>
        <v>43267.854166666672</v>
      </c>
      <c r="H19" s="75" t="str">
        <f t="shared" si="28"/>
        <v>Sat</v>
      </c>
      <c r="I19" s="76" t="str">
        <f t="shared" si="14"/>
        <v>Peru</v>
      </c>
      <c r="J19" s="76" t="str">
        <f t="shared" si="15"/>
        <v>Denmark</v>
      </c>
      <c r="K19" s="132"/>
      <c r="L19" s="133"/>
      <c r="M19" s="83">
        <f t="shared" si="16"/>
        <v>0</v>
      </c>
      <c r="N19" s="222"/>
      <c r="O19" s="223"/>
      <c r="P19" s="107" t="s">
        <v>204</v>
      </c>
      <c r="Q19" s="53">
        <v>1</v>
      </c>
      <c r="R19" s="54" t="str">
        <f>VLOOKUP(Q19,$AS$19:$AZ$22,2,FALSE)</f>
        <v>Peru</v>
      </c>
      <c r="S19" s="53">
        <f>VLOOKUP(R19,$AT$19:$BB$22,3,FALSE)</f>
        <v>0</v>
      </c>
      <c r="T19" s="53">
        <f>VLOOKUP(R19,$AT$19:$BB$22,4,FALSE)</f>
        <v>0</v>
      </c>
      <c r="U19" s="53">
        <f>VLOOKUP(R19,$AT$19:$BB$22,8,FALSE)</f>
        <v>0</v>
      </c>
      <c r="V19" s="53">
        <f>VLOOKUP(R19,$AT$19:$BB$22,9,FALSE)</f>
        <v>0</v>
      </c>
      <c r="W19" s="53">
        <f>U19-V19</f>
        <v>0</v>
      </c>
      <c r="X19" s="53">
        <f>VLOOKUP(R19,$AT$19:$BC$22,10,FALSE)</f>
        <v>39</v>
      </c>
      <c r="Y19" s="130"/>
      <c r="Z19" s="176">
        <f>VLOOKUP(R19,$AT$19:$BE$22,12,FALSE)</f>
        <v>4</v>
      </c>
      <c r="AA19" s="177" t="str">
        <f t="shared" si="17"/>
        <v/>
      </c>
      <c r="AB19" s="177" t="str">
        <f t="shared" si="18"/>
        <v/>
      </c>
      <c r="AC19" s="177">
        <f t="shared" si="19"/>
        <v>0</v>
      </c>
      <c r="AD19" s="177">
        <f t="shared" si="20"/>
        <v>0</v>
      </c>
      <c r="AE19" s="177" t="e">
        <f t="shared" si="61"/>
        <v>#N/A</v>
      </c>
      <c r="AF19" s="177" t="e">
        <f t="shared" si="61"/>
        <v>#N/A</v>
      </c>
      <c r="AG19" s="177" t="e">
        <f t="shared" si="29"/>
        <v>#N/A</v>
      </c>
      <c r="AH19" s="177" t="e">
        <f t="shared" si="62"/>
        <v>#N/A</v>
      </c>
      <c r="AI19" s="177" t="e">
        <f t="shared" si="62"/>
        <v>#N/A</v>
      </c>
      <c r="AJ19" s="177" t="e">
        <f t="shared" ref="AJ19:AJ23" si="68">IF(SUM(AH19:AI19)=2,1,0)</f>
        <v>#N/A</v>
      </c>
      <c r="AK19" s="177" t="e">
        <f t="shared" si="63"/>
        <v>#N/A</v>
      </c>
      <c r="AL19" s="177" t="e">
        <f t="shared" si="63"/>
        <v>#N/A</v>
      </c>
      <c r="AM19" s="177" t="e">
        <f t="shared" ref="AM19:AM23" si="69">IF(SUM(AK19:AL19)=2,1,0)</f>
        <v>#N/A</v>
      </c>
      <c r="AN19" s="177" t="e">
        <f t="shared" si="64"/>
        <v>#N/A</v>
      </c>
      <c r="AO19" s="177" t="e">
        <f>IF(IndC=8,L19*AJ19+L19*AM19,AG19)</f>
        <v>#N/A</v>
      </c>
      <c r="AP19" s="177" t="e">
        <f t="shared" ref="AP19:AP23" si="70">AN19</f>
        <v>#N/A</v>
      </c>
      <c r="AQ19" s="177" t="e">
        <f t="shared" si="66"/>
        <v>#N/A</v>
      </c>
      <c r="AR19" s="177" t="e">
        <f t="shared" si="67"/>
        <v>#N/A</v>
      </c>
      <c r="AS19" s="173">
        <f>RANK(BD19,$BD$19:$BD$22)</f>
        <v>4</v>
      </c>
      <c r="AT19" s="173" t="str">
        <f>VLOOKUP("c1",TeamTbl,2,FALSE)</f>
        <v>France</v>
      </c>
      <c r="AU19" s="23" t="s">
        <v>163</v>
      </c>
      <c r="AV19" s="24">
        <f>COUNTIF(AA$4:AB$41,AT19)</f>
        <v>0</v>
      </c>
      <c r="AW19" s="23">
        <f>SUMIF($AA$6:$AB$41,AT19,$AC$6:$AD$41)</f>
        <v>0</v>
      </c>
      <c r="AX19" s="23">
        <f t="shared" si="34"/>
        <v>0</v>
      </c>
      <c r="AY19" s="25">
        <f>BK19</f>
        <v>11.1</v>
      </c>
      <c r="AZ19" s="23">
        <f>BA19-BB19</f>
        <v>0</v>
      </c>
      <c r="BA19" s="23">
        <f>SUMIF(I$6:J$41,AT19,K$6:L$41)</f>
        <v>0</v>
      </c>
      <c r="BB19" s="23">
        <f>SUMIF(I$6:J$41,AT19,L$6:M$41)</f>
        <v>0</v>
      </c>
      <c r="BC19" s="23">
        <f>VLOOKUP(AT19,Tbl,4,FALSE)</f>
        <v>100</v>
      </c>
      <c r="BD19" s="26">
        <f>RANK(AW19,$AW$19:$AW$22,1)*1000+RANK(AY19,$AY$19:$AY$22,1)+RANK(AZ19,$AZ$19:$AZ$22,1)*100+RANK(BA19,$BA$19:$BA$22,1)*10+RANK(BC19,$BC$19:$BC$22,0)*0.01</f>
        <v>1111.01</v>
      </c>
      <c r="BE19" s="23">
        <f>COUNTIF($AW$19:$AW$22,AW19)</f>
        <v>4</v>
      </c>
      <c r="BF19" s="24">
        <f>IF(BE19=1,0,1)</f>
        <v>1</v>
      </c>
      <c r="BG19" s="23">
        <f>SUMIF($AA$6:$AB$41,AT19,$AQ$6:$AR$41)</f>
        <v>0</v>
      </c>
      <c r="BH19" s="23">
        <f>BI19-BJ19</f>
        <v>0</v>
      </c>
      <c r="BI19" s="23">
        <f>SUMIFS($K$6:$L$41,$AA$6:$AB$41,AT19,$AN$6:$AO$41,"&gt;0")</f>
        <v>0</v>
      </c>
      <c r="BJ19" s="23">
        <f>SUMIFS($L$6:$M$41,$AA$6:$AB$41,AT19,$AN$6:$AO$41,"&gt;0")</f>
        <v>0</v>
      </c>
      <c r="BK19" s="25">
        <f>RANK(BG19,$BG$19:$BG$22,1)*10+RANK(BH19,$BH$19:$BH$22,1)+RANK(BI19,$BI$19:$BI$22,1)*0.1</f>
        <v>11.1</v>
      </c>
      <c r="BL19" s="22" t="str">
        <f>IF(VLOOKUP(R19,$AT$19:$BJ$22,5,FALSE)&gt;0,VLOOKUP(R19,$AT$19:$BJ$22,14,FALSE),"")</f>
        <v/>
      </c>
      <c r="BM19" s="22" t="str">
        <f>IF(VLOOKUP(R19,$AT$19:$BJ$22,5,FALSE)&gt;0,VLOOKUP(R19,$AT$19:$BJ$22,16,FALSE),"")</f>
        <v/>
      </c>
      <c r="BN19" s="22" t="str">
        <f>IF(VLOOKUP(R19,$AT$19:$BJ$22,5,FALSE)&gt;0,VLOOKUP(R19,$AT$19:$BJ$22,17,FALSE),"")</f>
        <v/>
      </c>
      <c r="BO19" s="22" t="str">
        <f>IF(BL19&lt;&gt;"",BM19-BN19,"")</f>
        <v/>
      </c>
      <c r="BP19" s="116"/>
    </row>
    <row r="20" spans="2:68" ht="15" customHeight="1">
      <c r="B20" s="38">
        <v>21</v>
      </c>
      <c r="C20" s="35">
        <v>43272.541666666664</v>
      </c>
      <c r="D20" s="38" t="s">
        <v>206</v>
      </c>
      <c r="E20" s="38" t="s">
        <v>207</v>
      </c>
      <c r="F20" s="119"/>
      <c r="G20" s="74">
        <f>C20+TimesInd/24</f>
        <v>43272.6875</v>
      </c>
      <c r="H20" s="75" t="str">
        <f t="shared" si="28"/>
        <v>Thu</v>
      </c>
      <c r="I20" s="76" t="str">
        <f t="shared" si="14"/>
        <v>Denmark</v>
      </c>
      <c r="J20" s="76" t="str">
        <f t="shared" si="15"/>
        <v>Australia</v>
      </c>
      <c r="K20" s="132"/>
      <c r="L20" s="133"/>
      <c r="M20" s="83">
        <f t="shared" si="16"/>
        <v>0</v>
      </c>
      <c r="N20" s="222"/>
      <c r="O20" s="223"/>
      <c r="P20" s="107" t="s">
        <v>205</v>
      </c>
      <c r="Q20" s="53">
        <v>2</v>
      </c>
      <c r="R20" s="54" t="str">
        <f>VLOOKUP(Q20,$AS$19:$AZ$22,2,FALSE)</f>
        <v>Denmark</v>
      </c>
      <c r="S20" s="53">
        <f>VLOOKUP(R20,$AT$19:$BB$22,3,FALSE)</f>
        <v>0</v>
      </c>
      <c r="T20" s="53">
        <f>VLOOKUP(R20,$AT$19:$BB$22,4,FALSE)</f>
        <v>0</v>
      </c>
      <c r="U20" s="53">
        <f>VLOOKUP(R20,$AT$19:$BB$22,8,FALSE)</f>
        <v>0</v>
      </c>
      <c r="V20" s="53">
        <f>VLOOKUP(R20,$AT$19:$BB$22,9,FALSE)</f>
        <v>0</v>
      </c>
      <c r="W20" s="53">
        <f t="shared" ref="W20:W22" si="71">U20-V20</f>
        <v>0</v>
      </c>
      <c r="X20" s="53">
        <f>VLOOKUP(R20,$AT$19:$BC$22,10,FALSE)</f>
        <v>72</v>
      </c>
      <c r="Y20" s="130"/>
      <c r="Z20" s="176">
        <f>VLOOKUP(R20,$AT$19:$BE$22,12,FALSE)</f>
        <v>4</v>
      </c>
      <c r="AA20" s="177" t="str">
        <f t="shared" si="17"/>
        <v/>
      </c>
      <c r="AB20" s="177" t="str">
        <f t="shared" si="18"/>
        <v/>
      </c>
      <c r="AC20" s="177">
        <f t="shared" si="19"/>
        <v>0</v>
      </c>
      <c r="AD20" s="177">
        <f t="shared" si="20"/>
        <v>0</v>
      </c>
      <c r="AE20" s="177" t="e">
        <f t="shared" si="61"/>
        <v>#N/A</v>
      </c>
      <c r="AF20" s="177" t="e">
        <f t="shared" si="61"/>
        <v>#N/A</v>
      </c>
      <c r="AG20" s="177" t="e">
        <f t="shared" si="29"/>
        <v>#N/A</v>
      </c>
      <c r="AH20" s="177" t="e">
        <f t="shared" si="62"/>
        <v>#N/A</v>
      </c>
      <c r="AI20" s="177" t="e">
        <f t="shared" si="62"/>
        <v>#N/A</v>
      </c>
      <c r="AJ20" s="177" t="e">
        <f t="shared" si="68"/>
        <v>#N/A</v>
      </c>
      <c r="AK20" s="177" t="e">
        <f t="shared" si="63"/>
        <v>#N/A</v>
      </c>
      <c r="AL20" s="177" t="e">
        <f t="shared" si="63"/>
        <v>#N/A</v>
      </c>
      <c r="AM20" s="177" t="e">
        <f t="shared" si="69"/>
        <v>#N/A</v>
      </c>
      <c r="AN20" s="177" t="e">
        <f t="shared" si="64"/>
        <v>#N/A</v>
      </c>
      <c r="AO20" s="177" t="e">
        <f>IF(IndC=8,L19*AJ20+L19*AM20,AG20)</f>
        <v>#N/A</v>
      </c>
      <c r="AP20" s="177" t="e">
        <f t="shared" si="70"/>
        <v>#N/A</v>
      </c>
      <c r="AQ20" s="177" t="e">
        <f t="shared" si="66"/>
        <v>#N/A</v>
      </c>
      <c r="AR20" s="177" t="e">
        <f t="shared" si="67"/>
        <v>#N/A</v>
      </c>
      <c r="AS20" s="173">
        <f t="shared" ref="AS20:AS22" si="72">RANK(BD20,$BD$19:$BD$22)</f>
        <v>1</v>
      </c>
      <c r="AT20" s="173" t="str">
        <f>VLOOKUP("c2",TeamTbl,2,FALSE)</f>
        <v>Peru</v>
      </c>
      <c r="AU20" s="23" t="s">
        <v>163</v>
      </c>
      <c r="AV20" s="24">
        <f>COUNTIF(AA$4:AB$41,AT20)</f>
        <v>0</v>
      </c>
      <c r="AW20" s="23">
        <f>SUMIF($AA$6:$AB$41,AT20,$AC$6:$AD$41)</f>
        <v>0</v>
      </c>
      <c r="AX20" s="23">
        <f t="shared" si="34"/>
        <v>0</v>
      </c>
      <c r="AY20" s="25">
        <f t="shared" ref="AY20:AY22" si="73">BK20</f>
        <v>11.1</v>
      </c>
      <c r="AZ20" s="23">
        <f t="shared" ref="AZ20:AZ22" si="74">BA20-BB20</f>
        <v>0</v>
      </c>
      <c r="BA20" s="23">
        <f>SUMIF(I$6:J$41,AT20,K$6:L$41)</f>
        <v>0</v>
      </c>
      <c r="BB20" s="23">
        <f>SUMIF(I$6:J$41,AT20,L$6:M$41)</f>
        <v>0</v>
      </c>
      <c r="BC20" s="23">
        <f>VLOOKUP(AT20,Tbl,4,FALSE)</f>
        <v>39</v>
      </c>
      <c r="BD20" s="26">
        <f t="shared" ref="BD20:BD22" si="75">RANK(AW20,$AW$19:$AW$22,1)*1000+RANK(AY20,$AY$19:$AY$22,1)+RANK(AZ20,$AZ$19:$AZ$22,1)*100+RANK(BA20,$BA$19:$BA$22,1)*10+RANK(BC20,$BC$19:$BC$22,0)*0.01</f>
        <v>1111.04</v>
      </c>
      <c r="BE20" s="23">
        <f t="shared" ref="BE20:BE22" si="76">COUNTIF($AW$19:$AW$22,AW20)</f>
        <v>4</v>
      </c>
      <c r="BF20" s="24">
        <f t="shared" ref="BF20:BF22" si="77">IF(BE20=1,0,1)</f>
        <v>1</v>
      </c>
      <c r="BG20" s="23">
        <f>SUMIF($AA$6:$AB$41,AT20,$AQ$6:$AR$41)</f>
        <v>0</v>
      </c>
      <c r="BH20" s="23">
        <f t="shared" ref="BH20:BH22" si="78">BI20-BJ20</f>
        <v>0</v>
      </c>
      <c r="BI20" s="23">
        <f>SUMIFS($K$6:$L$41,$AA$6:$AB$41,AT20,$AN$6:$AO$41,"&gt;0")</f>
        <v>0</v>
      </c>
      <c r="BJ20" s="23">
        <f>SUMIFS($L$6:$M$41,$AA$6:$AB$41,AT20,$AN$6:$AO$41,"&gt;0")</f>
        <v>0</v>
      </c>
      <c r="BK20" s="25">
        <f t="shared" ref="BK20:BK22" si="79">RANK(BG20,$BG$19:$BG$22,1)*10+RANK(BH20,$BH$19:$BH$22,1)+RANK(BI20,$BI$19:$BI$22,1)*0.1</f>
        <v>11.1</v>
      </c>
      <c r="BL20" s="22" t="str">
        <f>IF(VLOOKUP(R20,$AT$19:$BJ$22,5,FALSE)&gt;0,VLOOKUP(R20,$AT$19:$BJ$22,14,FALSE),"")</f>
        <v/>
      </c>
      <c r="BM20" s="22" t="str">
        <f>IF(VLOOKUP(R20,$AT$19:$BJ$22,5,FALSE)&gt;0,VLOOKUP(R20,$AT$19:$BJ$22,16,FALSE),"")</f>
        <v/>
      </c>
      <c r="BN20" s="22" t="str">
        <f>IF(VLOOKUP(R20,$AT$19:$BJ$22,5,FALSE)&gt;0,VLOOKUP(R20,$AT$19:$BJ$22,17,FALSE),"")</f>
        <v/>
      </c>
      <c r="BO20" s="22" t="str">
        <f t="shared" ref="BO20:BO22" si="80">IF(BL20&lt;&gt;"",BM20-BN20,"")</f>
        <v/>
      </c>
      <c r="BP20" s="116"/>
    </row>
    <row r="21" spans="2:68" ht="15" customHeight="1">
      <c r="B21" s="38">
        <v>22</v>
      </c>
      <c r="C21" s="35">
        <v>43272.666666666664</v>
      </c>
      <c r="D21" s="38" t="s">
        <v>204</v>
      </c>
      <c r="E21" s="38" t="s">
        <v>205</v>
      </c>
      <c r="F21" s="119"/>
      <c r="G21" s="74">
        <f>C21+TimesInd/24</f>
        <v>43272.8125</v>
      </c>
      <c r="H21" s="75" t="str">
        <f t="shared" si="28"/>
        <v>Thu</v>
      </c>
      <c r="I21" s="76" t="str">
        <f t="shared" si="14"/>
        <v>France</v>
      </c>
      <c r="J21" s="76" t="str">
        <f t="shared" si="15"/>
        <v>Peru</v>
      </c>
      <c r="K21" s="132"/>
      <c r="L21" s="133"/>
      <c r="M21" s="83">
        <f t="shared" si="16"/>
        <v>0</v>
      </c>
      <c r="N21" s="222"/>
      <c r="O21" s="223"/>
      <c r="P21" s="107" t="s">
        <v>206</v>
      </c>
      <c r="Q21" s="49">
        <v>3</v>
      </c>
      <c r="R21" s="50" t="str">
        <f>VLOOKUP(Q21,$AS$19:$AZ$22,2,FALSE)</f>
        <v>Australia</v>
      </c>
      <c r="S21" s="49">
        <f>VLOOKUP(R21,$AT$19:$BB$22,3,FALSE)</f>
        <v>0</v>
      </c>
      <c r="T21" s="49">
        <f>VLOOKUP(R21,$AT$19:$BB$22,4,FALSE)</f>
        <v>0</v>
      </c>
      <c r="U21" s="49">
        <f>VLOOKUP(R21,$AT$19:$BB$22,8,FALSE)</f>
        <v>0</v>
      </c>
      <c r="V21" s="49">
        <f>VLOOKUP(R21,$AT$19:$BB$22,9,FALSE)</f>
        <v>0</v>
      </c>
      <c r="W21" s="49">
        <f t="shared" si="71"/>
        <v>0</v>
      </c>
      <c r="X21" s="49">
        <f>VLOOKUP(R21,$AT$19:$BC$22,10,FALSE)</f>
        <v>82</v>
      </c>
      <c r="Y21" s="130"/>
      <c r="Z21" s="176">
        <f>VLOOKUP(R21,$AT$19:$BE$22,12,FALSE)</f>
        <v>4</v>
      </c>
      <c r="AA21" s="177" t="str">
        <f t="shared" si="17"/>
        <v/>
      </c>
      <c r="AB21" s="177" t="str">
        <f t="shared" si="18"/>
        <v/>
      </c>
      <c r="AC21" s="177">
        <f t="shared" si="19"/>
        <v>0</v>
      </c>
      <c r="AD21" s="177">
        <f t="shared" si="20"/>
        <v>0</v>
      </c>
      <c r="AE21" s="177" t="e">
        <f t="shared" si="61"/>
        <v>#N/A</v>
      </c>
      <c r="AF21" s="177" t="e">
        <f t="shared" si="61"/>
        <v>#N/A</v>
      </c>
      <c r="AG21" s="177" t="e">
        <f t="shared" si="29"/>
        <v>#N/A</v>
      </c>
      <c r="AH21" s="177" t="e">
        <f t="shared" si="62"/>
        <v>#N/A</v>
      </c>
      <c r="AI21" s="177" t="e">
        <f t="shared" si="62"/>
        <v>#N/A</v>
      </c>
      <c r="AJ21" s="177" t="e">
        <f t="shared" si="68"/>
        <v>#N/A</v>
      </c>
      <c r="AK21" s="177" t="e">
        <f t="shared" si="63"/>
        <v>#N/A</v>
      </c>
      <c r="AL21" s="177" t="e">
        <f t="shared" si="63"/>
        <v>#N/A</v>
      </c>
      <c r="AM21" s="177" t="e">
        <f t="shared" si="69"/>
        <v>#N/A</v>
      </c>
      <c r="AN21" s="177" t="e">
        <f t="shared" si="64"/>
        <v>#N/A</v>
      </c>
      <c r="AO21" s="177" t="e">
        <f>IF(IndC=8,L20*AJ21+L20*AM21,AG21)</f>
        <v>#N/A</v>
      </c>
      <c r="AP21" s="177" t="e">
        <f t="shared" si="70"/>
        <v>#N/A</v>
      </c>
      <c r="AQ21" s="177" t="e">
        <f t="shared" si="66"/>
        <v>#N/A</v>
      </c>
      <c r="AR21" s="177" t="e">
        <f t="shared" si="67"/>
        <v>#N/A</v>
      </c>
      <c r="AS21" s="173">
        <f t="shared" si="72"/>
        <v>2</v>
      </c>
      <c r="AT21" s="173" t="str">
        <f>VLOOKUP("c3",TeamTbl,2,FALSE)</f>
        <v>Denmark</v>
      </c>
      <c r="AU21" s="23" t="s">
        <v>163</v>
      </c>
      <c r="AV21" s="24">
        <f>COUNTIF(AA$4:AB$41,AT21)</f>
        <v>0</v>
      </c>
      <c r="AW21" s="23">
        <f>SUMIF($AA$6:$AB$41,AT21,$AC$6:$AD$41)</f>
        <v>0</v>
      </c>
      <c r="AX21" s="23">
        <f t="shared" si="34"/>
        <v>0</v>
      </c>
      <c r="AY21" s="25">
        <f t="shared" si="73"/>
        <v>11.1</v>
      </c>
      <c r="AZ21" s="23">
        <f t="shared" si="74"/>
        <v>0</v>
      </c>
      <c r="BA21" s="23">
        <f>SUMIF(I$6:J$41,AT21,K$6:L$41)</f>
        <v>0</v>
      </c>
      <c r="BB21" s="23">
        <f>SUMIF(I$6:J$41,AT21,L$6:M$41)</f>
        <v>0</v>
      </c>
      <c r="BC21" s="23">
        <f>VLOOKUP(AT21,Tbl,4,FALSE)</f>
        <v>72</v>
      </c>
      <c r="BD21" s="26">
        <f t="shared" si="75"/>
        <v>1111.03</v>
      </c>
      <c r="BE21" s="23">
        <f t="shared" si="76"/>
        <v>4</v>
      </c>
      <c r="BF21" s="24">
        <f t="shared" si="77"/>
        <v>1</v>
      </c>
      <c r="BG21" s="23">
        <f>SUMIF($AA$6:$AB$41,AT21,$AQ$6:$AR$41)</f>
        <v>0</v>
      </c>
      <c r="BH21" s="23">
        <f t="shared" si="78"/>
        <v>0</v>
      </c>
      <c r="BI21" s="23">
        <f>SUMIFS($K$6:$L$41,$AA$6:$AB$41,AT21,$AN$6:$AO$41,"&gt;0")</f>
        <v>0</v>
      </c>
      <c r="BJ21" s="23">
        <f>SUMIFS($L$6:$M$41,$AA$6:$AB$41,AT21,$AN$6:$AO$41,"&gt;0")</f>
        <v>0</v>
      </c>
      <c r="BK21" s="25">
        <f t="shared" si="79"/>
        <v>11.1</v>
      </c>
      <c r="BL21" s="22" t="str">
        <f>IF(VLOOKUP(R21,$AT$19:$BJ$22,5,FALSE)&gt;0,VLOOKUP(R21,$AT$19:$BJ$22,14,FALSE),"")</f>
        <v/>
      </c>
      <c r="BM21" s="22" t="str">
        <f>IF(VLOOKUP(R21,$AT$19:$BJ$22,5,FALSE)&gt;0,VLOOKUP(R21,$AT$19:$BJ$22,16,FALSE),"")</f>
        <v/>
      </c>
      <c r="BN21" s="22" t="str">
        <f>IF(VLOOKUP(R21,$AT$19:$BJ$22,5,FALSE)&gt;0,VLOOKUP(R21,$AT$19:$BJ$22,17,FALSE),"")</f>
        <v/>
      </c>
      <c r="BO21" s="22" t="str">
        <f t="shared" si="80"/>
        <v/>
      </c>
      <c r="BP21" s="116"/>
    </row>
    <row r="22" spans="2:68" ht="15" customHeight="1">
      <c r="B22" s="38">
        <v>37</v>
      </c>
      <c r="C22" s="35">
        <v>43277.625</v>
      </c>
      <c r="D22" s="38" t="s">
        <v>206</v>
      </c>
      <c r="E22" s="38" t="s">
        <v>204</v>
      </c>
      <c r="F22" s="119"/>
      <c r="G22" s="74">
        <f>C22+TimesInd/24</f>
        <v>43277.770833333336</v>
      </c>
      <c r="H22" s="75" t="str">
        <f t="shared" si="28"/>
        <v>Tue</v>
      </c>
      <c r="I22" s="76" t="str">
        <f t="shared" si="14"/>
        <v>Denmark</v>
      </c>
      <c r="J22" s="76" t="str">
        <f t="shared" si="15"/>
        <v>France</v>
      </c>
      <c r="K22" s="132"/>
      <c r="L22" s="133"/>
      <c r="M22" s="83">
        <f t="shared" si="16"/>
        <v>0</v>
      </c>
      <c r="N22" s="222"/>
      <c r="O22" s="223"/>
      <c r="P22" s="107" t="s">
        <v>207</v>
      </c>
      <c r="Q22" s="49">
        <v>4</v>
      </c>
      <c r="R22" s="50" t="str">
        <f>VLOOKUP(Q22,$AS$19:$AZ$22,2,FALSE)</f>
        <v>France</v>
      </c>
      <c r="S22" s="49">
        <f>VLOOKUP(R22,$AT$19:$BB$22,3,FALSE)</f>
        <v>0</v>
      </c>
      <c r="T22" s="49">
        <f>VLOOKUP(R22,$AT$19:$BB$22,4,FALSE)</f>
        <v>0</v>
      </c>
      <c r="U22" s="49">
        <f>VLOOKUP(R22,$AT$19:$BB$22,8,FALSE)</f>
        <v>0</v>
      </c>
      <c r="V22" s="49">
        <f>VLOOKUP(R22,$AT$19:$BB$22,9,FALSE)</f>
        <v>0</v>
      </c>
      <c r="W22" s="49">
        <f t="shared" si="71"/>
        <v>0</v>
      </c>
      <c r="X22" s="49">
        <f>VLOOKUP(R22,$AT$19:$BC$22,10,FALSE)</f>
        <v>100</v>
      </c>
      <c r="Y22" s="130"/>
      <c r="Z22" s="176">
        <f>VLOOKUP(R22,$AT$19:$BE$22,12,FALSE)</f>
        <v>4</v>
      </c>
      <c r="AA22" s="177" t="str">
        <f t="shared" si="17"/>
        <v/>
      </c>
      <c r="AB22" s="177" t="str">
        <f t="shared" si="18"/>
        <v/>
      </c>
      <c r="AC22" s="177">
        <f t="shared" si="19"/>
        <v>0</v>
      </c>
      <c r="AD22" s="177">
        <f t="shared" si="20"/>
        <v>0</v>
      </c>
      <c r="AE22" s="177" t="e">
        <f t="shared" si="61"/>
        <v>#N/A</v>
      </c>
      <c r="AF22" s="177" t="e">
        <f t="shared" si="61"/>
        <v>#N/A</v>
      </c>
      <c r="AG22" s="177" t="e">
        <f t="shared" si="29"/>
        <v>#N/A</v>
      </c>
      <c r="AH22" s="177" t="e">
        <f t="shared" si="62"/>
        <v>#N/A</v>
      </c>
      <c r="AI22" s="177" t="e">
        <f t="shared" si="62"/>
        <v>#N/A</v>
      </c>
      <c r="AJ22" s="177" t="e">
        <f t="shared" si="68"/>
        <v>#N/A</v>
      </c>
      <c r="AK22" s="177" t="e">
        <f t="shared" si="63"/>
        <v>#N/A</v>
      </c>
      <c r="AL22" s="177" t="e">
        <f t="shared" si="63"/>
        <v>#N/A</v>
      </c>
      <c r="AM22" s="177" t="e">
        <f t="shared" si="69"/>
        <v>#N/A</v>
      </c>
      <c r="AN22" s="177" t="e">
        <f t="shared" si="64"/>
        <v>#N/A</v>
      </c>
      <c r="AO22" s="177" t="e">
        <f>IF(IndC=8,L21*AJ22+L21*AM22,AG22)</f>
        <v>#N/A</v>
      </c>
      <c r="AP22" s="177" t="e">
        <f t="shared" si="70"/>
        <v>#N/A</v>
      </c>
      <c r="AQ22" s="177" t="e">
        <f t="shared" si="66"/>
        <v>#N/A</v>
      </c>
      <c r="AR22" s="177" t="e">
        <f t="shared" si="67"/>
        <v>#N/A</v>
      </c>
      <c r="AS22" s="173">
        <f t="shared" si="72"/>
        <v>3</v>
      </c>
      <c r="AT22" s="173" t="str">
        <f>VLOOKUP("c4",TeamTbl,2,FALSE)</f>
        <v>Australia</v>
      </c>
      <c r="AU22" s="23" t="s">
        <v>163</v>
      </c>
      <c r="AV22" s="24">
        <f>COUNTIF(AA$4:AB$41,AT22)</f>
        <v>0</v>
      </c>
      <c r="AW22" s="23">
        <f>SUMIF($AA$6:$AB$41,AT22,$AC$6:$AD$41)</f>
        <v>0</v>
      </c>
      <c r="AX22" s="23">
        <f t="shared" si="34"/>
        <v>0</v>
      </c>
      <c r="AY22" s="25">
        <f t="shared" si="73"/>
        <v>11.1</v>
      </c>
      <c r="AZ22" s="23">
        <f t="shared" si="74"/>
        <v>0</v>
      </c>
      <c r="BA22" s="23">
        <f>SUMIF(I$6:J$41,AT22,K$6:L$41)</f>
        <v>0</v>
      </c>
      <c r="BB22" s="23">
        <f>SUMIF(I$6:J$41,AT22,L$6:M$41)</f>
        <v>0</v>
      </c>
      <c r="BC22" s="23">
        <f>VLOOKUP(AT22,Tbl,4,FALSE)</f>
        <v>82</v>
      </c>
      <c r="BD22" s="26">
        <f t="shared" si="75"/>
        <v>1111.02</v>
      </c>
      <c r="BE22" s="23">
        <f t="shared" si="76"/>
        <v>4</v>
      </c>
      <c r="BF22" s="24">
        <f t="shared" si="77"/>
        <v>1</v>
      </c>
      <c r="BG22" s="23">
        <f>SUMIF($AA$6:$AB$41,AT22,$AQ$6:$AR$41)</f>
        <v>0</v>
      </c>
      <c r="BH22" s="23">
        <f t="shared" si="78"/>
        <v>0</v>
      </c>
      <c r="BI22" s="23">
        <f>SUMIFS($K$6:$L$41,$AA$6:$AB$41,AT22,$AN$6:$AO$41,"&gt;0")</f>
        <v>0</v>
      </c>
      <c r="BJ22" s="23">
        <f>SUMIFS($L$6:$M$41,$AA$6:$AB$41,AT22,$AN$6:$AO$41,"&gt;0")</f>
        <v>0</v>
      </c>
      <c r="BK22" s="25">
        <f t="shared" si="79"/>
        <v>11.1</v>
      </c>
      <c r="BL22" s="22" t="str">
        <f>IF(VLOOKUP(R22,$AT$19:$BJ$22,5,FALSE)&gt;0,VLOOKUP(R22,$AT$19:$BJ$22,14,FALSE),"")</f>
        <v/>
      </c>
      <c r="BM22" s="22" t="str">
        <f>IF(VLOOKUP(R22,$AT$19:$BJ$22,5,FALSE)&gt;0,VLOOKUP(R22,$AT$19:$BJ$22,16,FALSE),"")</f>
        <v/>
      </c>
      <c r="BN22" s="22" t="str">
        <f>IF(VLOOKUP(R22,$AT$19:$BJ$22,5,FALSE)&gt;0,VLOOKUP(R22,$AT$19:$BJ$22,17,FALSE),"")</f>
        <v/>
      </c>
      <c r="BO22" s="22" t="str">
        <f t="shared" si="80"/>
        <v/>
      </c>
      <c r="BP22" s="116"/>
    </row>
    <row r="23" spans="2:68" ht="15" customHeight="1" thickBot="1">
      <c r="B23" s="38">
        <v>38</v>
      </c>
      <c r="C23" s="35">
        <v>43277.625</v>
      </c>
      <c r="D23" s="38" t="s">
        <v>207</v>
      </c>
      <c r="E23" s="38" t="s">
        <v>205</v>
      </c>
      <c r="F23" s="158"/>
      <c r="G23" s="159">
        <f>C23+TimesInd/24</f>
        <v>43277.770833333336</v>
      </c>
      <c r="H23" s="148" t="str">
        <f t="shared" si="28"/>
        <v>Tue</v>
      </c>
      <c r="I23" s="149" t="str">
        <f t="shared" si="14"/>
        <v>Australia</v>
      </c>
      <c r="J23" s="149" t="str">
        <f t="shared" si="15"/>
        <v>Peru</v>
      </c>
      <c r="K23" s="150"/>
      <c r="L23" s="151"/>
      <c r="M23" s="152">
        <f t="shared" si="16"/>
        <v>0</v>
      </c>
      <c r="N23" s="224"/>
      <c r="O23" s="225"/>
      <c r="P23" s="153"/>
      <c r="Q23" s="154"/>
      <c r="R23" s="155"/>
      <c r="S23" s="154"/>
      <c r="T23" s="154"/>
      <c r="U23" s="154"/>
      <c r="V23" s="154"/>
      <c r="W23" s="154"/>
      <c r="X23" s="154"/>
      <c r="Y23" s="154"/>
      <c r="Z23" s="178"/>
      <c r="AA23" s="179" t="str">
        <f t="shared" si="17"/>
        <v/>
      </c>
      <c r="AB23" s="179" t="str">
        <f t="shared" si="18"/>
        <v/>
      </c>
      <c r="AC23" s="179">
        <f t="shared" si="19"/>
        <v>0</v>
      </c>
      <c r="AD23" s="179">
        <f t="shared" si="20"/>
        <v>0</v>
      </c>
      <c r="AE23" s="179" t="e">
        <f t="shared" si="61"/>
        <v>#N/A</v>
      </c>
      <c r="AF23" s="179" t="e">
        <f t="shared" si="61"/>
        <v>#N/A</v>
      </c>
      <c r="AG23" s="179" t="e">
        <f t="shared" si="29"/>
        <v>#N/A</v>
      </c>
      <c r="AH23" s="179" t="e">
        <f t="shared" si="62"/>
        <v>#N/A</v>
      </c>
      <c r="AI23" s="179" t="e">
        <f t="shared" si="62"/>
        <v>#N/A</v>
      </c>
      <c r="AJ23" s="179" t="e">
        <f t="shared" si="68"/>
        <v>#N/A</v>
      </c>
      <c r="AK23" s="179" t="e">
        <f t="shared" si="63"/>
        <v>#N/A</v>
      </c>
      <c r="AL23" s="179" t="e">
        <f t="shared" si="63"/>
        <v>#N/A</v>
      </c>
      <c r="AM23" s="179" t="e">
        <f t="shared" si="69"/>
        <v>#N/A</v>
      </c>
      <c r="AN23" s="179" t="e">
        <f t="shared" si="64"/>
        <v>#N/A</v>
      </c>
      <c r="AO23" s="179" t="e">
        <f>IF(IndC=8,L23*AJ23+L23*AM23,AG23)</f>
        <v>#N/A</v>
      </c>
      <c r="AP23" s="179" t="e">
        <f t="shared" si="70"/>
        <v>#N/A</v>
      </c>
      <c r="AQ23" s="179" t="e">
        <f t="shared" si="66"/>
        <v>#N/A</v>
      </c>
      <c r="AR23" s="179" t="e">
        <f t="shared" si="67"/>
        <v>#N/A</v>
      </c>
      <c r="AS23" s="211"/>
      <c r="AT23" s="212"/>
      <c r="AU23" s="212"/>
      <c r="AV23" s="212"/>
      <c r="AW23" s="212"/>
      <c r="AX23" s="212"/>
      <c r="AY23" s="212"/>
      <c r="AZ23" s="212"/>
      <c r="BA23" s="212"/>
      <c r="BB23" s="212"/>
      <c r="BC23" s="212"/>
      <c r="BD23" s="213"/>
      <c r="BE23" s="113">
        <f>SUM(BE19:BE22)</f>
        <v>16</v>
      </c>
      <c r="BF23" s="114">
        <f>MIN(AW19:AW22)</f>
        <v>0</v>
      </c>
      <c r="BG23" s="114">
        <f>MAX(AW19:AW22)</f>
        <v>0</v>
      </c>
      <c r="BH23" s="211"/>
      <c r="BI23" s="212"/>
      <c r="BJ23" s="212"/>
      <c r="BK23" s="212"/>
      <c r="BL23" s="125"/>
      <c r="BM23" s="125"/>
      <c r="BN23" s="125"/>
      <c r="BO23" s="125"/>
      <c r="BP23" s="156"/>
    </row>
    <row r="24" spans="2:68" ht="15" customHeight="1" thickBot="1">
      <c r="B24" s="38">
        <v>7</v>
      </c>
      <c r="C24" s="35">
        <v>43267.583333333336</v>
      </c>
      <c r="D24" s="38" t="s">
        <v>208</v>
      </c>
      <c r="E24" s="38" t="s">
        <v>210</v>
      </c>
      <c r="F24" s="117"/>
      <c r="G24" s="157">
        <f>C24+TimesInd/24</f>
        <v>43267.729166666672</v>
      </c>
      <c r="H24" s="136" t="str">
        <f t="shared" si="28"/>
        <v>Sat</v>
      </c>
      <c r="I24" s="137" t="str">
        <f t="shared" si="14"/>
        <v>Argentina</v>
      </c>
      <c r="J24" s="137" t="str">
        <f t="shared" si="15"/>
        <v>Iceland</v>
      </c>
      <c r="K24" s="138"/>
      <c r="L24" s="139"/>
      <c r="M24" s="140">
        <f t="shared" si="16"/>
        <v>0</v>
      </c>
      <c r="N24" s="220" t="s">
        <v>164</v>
      </c>
      <c r="O24" s="221"/>
      <c r="P24" s="141"/>
      <c r="Q24" s="142"/>
      <c r="R24" s="143"/>
      <c r="S24" s="142"/>
      <c r="T24" s="142"/>
      <c r="U24" s="142"/>
      <c r="V24" s="142"/>
      <c r="W24" s="142"/>
      <c r="X24" s="142"/>
      <c r="Y24" s="142"/>
      <c r="Z24" s="174"/>
      <c r="AA24" s="175" t="str">
        <f t="shared" si="17"/>
        <v/>
      </c>
      <c r="AB24" s="175" t="str">
        <f t="shared" si="18"/>
        <v/>
      </c>
      <c r="AC24" s="175">
        <f t="shared" si="19"/>
        <v>0</v>
      </c>
      <c r="AD24" s="175">
        <f t="shared" si="20"/>
        <v>0</v>
      </c>
      <c r="AE24" s="175" t="e">
        <f t="shared" ref="AE24:AF29" si="81">VLOOKUP(AA24,$AT$24:$BF$28,13,FALSE)</f>
        <v>#N/A</v>
      </c>
      <c r="AF24" s="175" t="e">
        <f t="shared" si="81"/>
        <v>#N/A</v>
      </c>
      <c r="AG24" s="175" t="e">
        <f t="shared" si="29"/>
        <v>#N/A</v>
      </c>
      <c r="AH24" s="175" t="e">
        <f t="shared" ref="AH24:AI29" si="82">IF(VLOOKUP(AA24,$AT$25:$BE$28,4,FALSE)=$BF$29,1,0)</f>
        <v>#N/A</v>
      </c>
      <c r="AI24" s="175" t="e">
        <f t="shared" si="82"/>
        <v>#N/A</v>
      </c>
      <c r="AJ24" s="175" t="e">
        <f>IF(SUM(AH24:AI24)=2,1,0)</f>
        <v>#N/A</v>
      </c>
      <c r="AK24" s="175" t="e">
        <f t="shared" ref="AK24:AL29" si="83">IF(VLOOKUP(AA24,$AT$25:$BE$28,4,FALSE)=$BG$29,1,0)</f>
        <v>#N/A</v>
      </c>
      <c r="AL24" s="175" t="e">
        <f t="shared" si="83"/>
        <v>#N/A</v>
      </c>
      <c r="AM24" s="175" t="e">
        <f>IF(SUM(AK24:AL24)=2,1,0)</f>
        <v>#N/A</v>
      </c>
      <c r="AN24" s="175" t="e">
        <f t="shared" ref="AN24:AN29" si="84">IF(IndD=8,K24*AJ24+K24*AM24,AG24)</f>
        <v>#N/A</v>
      </c>
      <c r="AO24" s="175" t="e">
        <f t="shared" ref="AO24:AO29" si="85">IF(IndD=8,L24*AJ24+L24*AM24,AG24)</f>
        <v>#N/A</v>
      </c>
      <c r="AP24" s="175" t="e">
        <f t="shared" ref="AP24" si="86">AN24</f>
        <v>#N/A</v>
      </c>
      <c r="AQ24" s="175" t="e">
        <f t="shared" ref="AQ24:AQ29" si="87">IF(IndD=8,AC24*AJ24+AC24*AM24,AG24)</f>
        <v>#N/A</v>
      </c>
      <c r="AR24" s="175" t="e">
        <f t="shared" ref="AR24:AR29" si="88">IF(IndD=8,AD24*AJ24+AD24*AM24,AG24)</f>
        <v>#N/A</v>
      </c>
      <c r="AS24" s="216" t="s">
        <v>159</v>
      </c>
      <c r="AT24" s="217" t="s">
        <v>3</v>
      </c>
      <c r="AU24" s="217" t="s">
        <v>172</v>
      </c>
      <c r="AV24" s="217" t="s">
        <v>86</v>
      </c>
      <c r="AW24" s="217" t="s">
        <v>5</v>
      </c>
      <c r="AX24" s="217" t="s">
        <v>187</v>
      </c>
      <c r="AY24" s="217" t="s">
        <v>180</v>
      </c>
      <c r="AZ24" s="217" t="s">
        <v>2</v>
      </c>
      <c r="BA24" s="217" t="s">
        <v>0</v>
      </c>
      <c r="BB24" s="217" t="s">
        <v>1</v>
      </c>
      <c r="BC24" s="217" t="s">
        <v>78</v>
      </c>
      <c r="BD24" s="218" t="s">
        <v>87</v>
      </c>
      <c r="BE24" s="144" t="s">
        <v>185</v>
      </c>
      <c r="BF24" s="145" t="s">
        <v>186</v>
      </c>
      <c r="BG24" s="145" t="s">
        <v>5</v>
      </c>
      <c r="BH24" s="216" t="s">
        <v>179</v>
      </c>
      <c r="BI24" s="217" t="s">
        <v>0</v>
      </c>
      <c r="BJ24" s="217" t="s">
        <v>1</v>
      </c>
      <c r="BK24" s="217" t="s">
        <v>184</v>
      </c>
      <c r="BL24" s="146"/>
      <c r="BM24" s="146"/>
      <c r="BN24" s="146"/>
      <c r="BO24" s="146"/>
      <c r="BP24" s="147"/>
    </row>
    <row r="25" spans="2:68" ht="15" customHeight="1">
      <c r="B25" s="38">
        <v>8</v>
      </c>
      <c r="C25" s="35">
        <v>43267.833333333336</v>
      </c>
      <c r="D25" s="38" t="s">
        <v>209</v>
      </c>
      <c r="E25" s="38" t="s">
        <v>211</v>
      </c>
      <c r="F25" s="119"/>
      <c r="G25" s="74">
        <f>C25+TimesInd/24</f>
        <v>43267.979166666672</v>
      </c>
      <c r="H25" s="75" t="str">
        <f t="shared" si="28"/>
        <v>Sat</v>
      </c>
      <c r="I25" s="76" t="str">
        <f t="shared" si="14"/>
        <v>Croatia</v>
      </c>
      <c r="J25" s="76" t="str">
        <f t="shared" si="15"/>
        <v>Nigeria</v>
      </c>
      <c r="K25" s="132"/>
      <c r="L25" s="133"/>
      <c r="M25" s="83">
        <f t="shared" si="16"/>
        <v>0</v>
      </c>
      <c r="N25" s="222"/>
      <c r="O25" s="223"/>
      <c r="P25" s="107" t="s">
        <v>208</v>
      </c>
      <c r="Q25" s="53">
        <v>1</v>
      </c>
      <c r="R25" s="54" t="str">
        <f>VLOOKUP(Q25,$AS$25:$AZ$28,2,FALSE)</f>
        <v>Argentina</v>
      </c>
      <c r="S25" s="53">
        <f>VLOOKUP(R25,$AT$25:$BB$28,3,FALSE)</f>
        <v>0</v>
      </c>
      <c r="T25" s="53">
        <f>VLOOKUP(R25,$AT$25:$BB$28,4,FALSE)</f>
        <v>0</v>
      </c>
      <c r="U25" s="53">
        <f>VLOOKUP(R25,$AT$25:$BB$28,8,FALSE)</f>
        <v>0</v>
      </c>
      <c r="V25" s="53">
        <f>VLOOKUP(R25,$AT$25:$BB$28,9,FALSE)</f>
        <v>0</v>
      </c>
      <c r="W25" s="53">
        <f>U25-V25</f>
        <v>0</v>
      </c>
      <c r="X25" s="53">
        <f>VLOOKUP(R25,$AT$25:$BC$28,10,FALSE)</f>
        <v>2</v>
      </c>
      <c r="Y25" s="130"/>
      <c r="Z25" s="176">
        <f>VLOOKUP(R25,$AT$25:$BE$28,12,FALSE)</f>
        <v>4</v>
      </c>
      <c r="AA25" s="177" t="str">
        <f t="shared" si="17"/>
        <v/>
      </c>
      <c r="AB25" s="177" t="str">
        <f t="shared" si="18"/>
        <v/>
      </c>
      <c r="AC25" s="177">
        <f t="shared" si="19"/>
        <v>0</v>
      </c>
      <c r="AD25" s="177">
        <f t="shared" si="20"/>
        <v>0</v>
      </c>
      <c r="AE25" s="177" t="e">
        <f t="shared" si="81"/>
        <v>#N/A</v>
      </c>
      <c r="AF25" s="177" t="e">
        <f t="shared" si="81"/>
        <v>#N/A</v>
      </c>
      <c r="AG25" s="177" t="e">
        <f t="shared" si="29"/>
        <v>#N/A</v>
      </c>
      <c r="AH25" s="177" t="e">
        <f t="shared" si="82"/>
        <v>#N/A</v>
      </c>
      <c r="AI25" s="177" t="e">
        <f t="shared" si="82"/>
        <v>#N/A</v>
      </c>
      <c r="AJ25" s="177" t="e">
        <f t="shared" ref="AJ25:AJ28" si="89">IF(SUM(AH25:AI25)=2,1,0)</f>
        <v>#N/A</v>
      </c>
      <c r="AK25" s="177" t="e">
        <f t="shared" si="83"/>
        <v>#N/A</v>
      </c>
      <c r="AL25" s="177" t="e">
        <f t="shared" si="83"/>
        <v>#N/A</v>
      </c>
      <c r="AM25" s="177" t="e">
        <f t="shared" ref="AM25:AM28" si="90">IF(SUM(AK25:AL25)=2,1,0)</f>
        <v>#N/A</v>
      </c>
      <c r="AN25" s="177" t="e">
        <f t="shared" si="84"/>
        <v>#N/A</v>
      </c>
      <c r="AO25" s="177" t="e">
        <f t="shared" si="85"/>
        <v>#N/A</v>
      </c>
      <c r="AP25" s="177" t="e">
        <f t="shared" ref="AP25:AP28" si="91">AN25</f>
        <v>#N/A</v>
      </c>
      <c r="AQ25" s="177" t="e">
        <f t="shared" si="87"/>
        <v>#N/A</v>
      </c>
      <c r="AR25" s="177" t="e">
        <f t="shared" si="88"/>
        <v>#N/A</v>
      </c>
      <c r="AS25" s="173">
        <f>RANK(BD25,$BD$25:$BD$28)</f>
        <v>1</v>
      </c>
      <c r="AT25" s="173" t="str">
        <f>VLOOKUP("d1",TeamTbl,2,FALSE)</f>
        <v>Argentina</v>
      </c>
      <c r="AU25" s="23" t="s">
        <v>164</v>
      </c>
      <c r="AV25" s="24">
        <f>COUNTIF(AA$4:AB$41,AT25)</f>
        <v>0</v>
      </c>
      <c r="AW25" s="23">
        <f>SUMIF($AA$6:$AB$41,AT25,$AC$6:$AD$41)</f>
        <v>0</v>
      </c>
      <c r="AX25" s="23">
        <f t="shared" si="34"/>
        <v>0</v>
      </c>
      <c r="AY25" s="25">
        <f>BK25</f>
        <v>11.1</v>
      </c>
      <c r="AZ25" s="23">
        <f>BA25-BB25</f>
        <v>0</v>
      </c>
      <c r="BA25" s="23">
        <f>SUMIF(I$6:J$41,AT25,K$6:L$41)</f>
        <v>0</v>
      </c>
      <c r="BB25" s="23">
        <f>SUMIF(I$6:J$41,AT25,L$6:M$41)</f>
        <v>0</v>
      </c>
      <c r="BC25" s="23">
        <f>VLOOKUP(AT25,Tbl,4,FALSE)</f>
        <v>2</v>
      </c>
      <c r="BD25" s="26">
        <f>RANK(AW25,$AW$25:$AW$28,1)*1000+RANK(AY25,$AY$25:$AY$28,1)+RANK(AZ25,$AZ$25:$AZ$28,1)*100+RANK(BA25,$BA$25:$BA$28,1)*10+RANK(BC25,$BC$25:$BC$28,0)*0.01</f>
        <v>1111.04</v>
      </c>
      <c r="BE25" s="23">
        <f>COUNTIF($AW$25:$AW$28,AW25)</f>
        <v>4</v>
      </c>
      <c r="BF25" s="24">
        <f>IF(BE25=1,0,1)</f>
        <v>1</v>
      </c>
      <c r="BG25" s="23">
        <f>SUMIF($AA$6:$AB$41,AT25,$AQ$6:$AR$41)</f>
        <v>0</v>
      </c>
      <c r="BH25" s="23">
        <f>BI25-BJ25</f>
        <v>0</v>
      </c>
      <c r="BI25" s="23">
        <f>SUMIFS($K$6:$L$41,$AA$6:$AB$41,AT25,$AN$6:$AO$41,"&gt;0")</f>
        <v>0</v>
      </c>
      <c r="BJ25" s="23">
        <f>SUMIFS($L$6:$M$41,$AA$6:$AB$41,AT25,$AN$6:$AO$41,"&gt;0")</f>
        <v>0</v>
      </c>
      <c r="BK25" s="25">
        <f>RANK(BG25,$BG$25:$BG$28,1)*10+RANK(BH25,$BH$25:$BH$28,1)+RANK(BI25,$BI$25:$BI$28,1)*0.1</f>
        <v>11.1</v>
      </c>
      <c r="BL25" s="22" t="str">
        <f>IF(VLOOKUP(R25,$AT$25:$BJ$28,5,FALSE)&gt;0,VLOOKUP(R25,$AT$25:$BJ$28,14,FALSE),"")</f>
        <v/>
      </c>
      <c r="BM25" s="22" t="str">
        <f>IF(VLOOKUP(R25,$AT$25:$BJ$28,5,FALSE)&gt;0,VLOOKUP(R25,$AT$25:$BJ$28,16,FALSE),"")</f>
        <v/>
      </c>
      <c r="BN25" s="22" t="str">
        <f>IF(VLOOKUP(R25,$AT$25:$BJ$28,5,FALSE)&gt;0,VLOOKUP(R25,$AT$25:$BJ$28,17,FALSE),"")</f>
        <v/>
      </c>
      <c r="BO25" s="22" t="str">
        <f>IF(BL25&lt;&gt;"",BM25-BN25,"")</f>
        <v/>
      </c>
      <c r="BP25" s="116"/>
    </row>
    <row r="26" spans="2:68" ht="15" customHeight="1">
      <c r="B26" s="38">
        <v>23</v>
      </c>
      <c r="C26" s="35">
        <v>43272.791666666664</v>
      </c>
      <c r="D26" s="38" t="s">
        <v>208</v>
      </c>
      <c r="E26" s="38" t="s">
        <v>209</v>
      </c>
      <c r="F26" s="119"/>
      <c r="G26" s="74">
        <f>C26+TimesInd/24</f>
        <v>43272.9375</v>
      </c>
      <c r="H26" s="75" t="str">
        <f t="shared" si="28"/>
        <v>Thu</v>
      </c>
      <c r="I26" s="76" t="str">
        <f t="shared" si="14"/>
        <v>Argentina</v>
      </c>
      <c r="J26" s="76" t="str">
        <f t="shared" si="15"/>
        <v>Croatia</v>
      </c>
      <c r="K26" s="132"/>
      <c r="L26" s="133"/>
      <c r="M26" s="83">
        <f t="shared" si="16"/>
        <v>0</v>
      </c>
      <c r="N26" s="222"/>
      <c r="O26" s="223"/>
      <c r="P26" s="107" t="s">
        <v>209</v>
      </c>
      <c r="Q26" s="53">
        <v>2</v>
      </c>
      <c r="R26" s="54" t="str">
        <f>VLOOKUP(Q26,$AS$25:$AZ$28,2,FALSE)</f>
        <v>Nigeria</v>
      </c>
      <c r="S26" s="53">
        <f>VLOOKUP(R26,$AT$25:$BB$28,3,FALSE)</f>
        <v>0</v>
      </c>
      <c r="T26" s="53">
        <f>VLOOKUP(R26,$AT$25:$BB$28,4,FALSE)</f>
        <v>0</v>
      </c>
      <c r="U26" s="53">
        <f>VLOOKUP(R26,$AT$25:$BB$28,8,FALSE)</f>
        <v>0</v>
      </c>
      <c r="V26" s="53">
        <f>VLOOKUP(R26,$AT$25:$BB$28,9,FALSE)</f>
        <v>0</v>
      </c>
      <c r="W26" s="53">
        <f t="shared" ref="W26:W28" si="92">U26-V26</f>
        <v>0</v>
      </c>
      <c r="X26" s="53">
        <f>VLOOKUP(R26,$AT$25:$BC$28,10,FALSE)</f>
        <v>59</v>
      </c>
      <c r="Y26" s="130"/>
      <c r="Z26" s="176">
        <f>VLOOKUP(R26,$AT$25:$BE$28,12,FALSE)</f>
        <v>4</v>
      </c>
      <c r="AA26" s="177" t="str">
        <f t="shared" si="17"/>
        <v/>
      </c>
      <c r="AB26" s="177" t="str">
        <f t="shared" si="18"/>
        <v/>
      </c>
      <c r="AC26" s="177">
        <f t="shared" si="19"/>
        <v>0</v>
      </c>
      <c r="AD26" s="177">
        <f t="shared" si="20"/>
        <v>0</v>
      </c>
      <c r="AE26" s="177" t="e">
        <f t="shared" si="81"/>
        <v>#N/A</v>
      </c>
      <c r="AF26" s="177" t="e">
        <f t="shared" si="81"/>
        <v>#N/A</v>
      </c>
      <c r="AG26" s="177" t="e">
        <f t="shared" si="29"/>
        <v>#N/A</v>
      </c>
      <c r="AH26" s="177" t="e">
        <f t="shared" si="82"/>
        <v>#N/A</v>
      </c>
      <c r="AI26" s="177" t="e">
        <f t="shared" si="82"/>
        <v>#N/A</v>
      </c>
      <c r="AJ26" s="177" t="e">
        <f t="shared" si="89"/>
        <v>#N/A</v>
      </c>
      <c r="AK26" s="177" t="e">
        <f t="shared" si="83"/>
        <v>#N/A</v>
      </c>
      <c r="AL26" s="177" t="e">
        <f t="shared" si="83"/>
        <v>#N/A</v>
      </c>
      <c r="AM26" s="177" t="e">
        <f t="shared" si="90"/>
        <v>#N/A</v>
      </c>
      <c r="AN26" s="177" t="e">
        <f t="shared" si="84"/>
        <v>#N/A</v>
      </c>
      <c r="AO26" s="177" t="e">
        <f t="shared" si="85"/>
        <v>#N/A</v>
      </c>
      <c r="AP26" s="177" t="e">
        <f t="shared" si="91"/>
        <v>#N/A</v>
      </c>
      <c r="AQ26" s="177" t="e">
        <f t="shared" si="87"/>
        <v>#N/A</v>
      </c>
      <c r="AR26" s="177" t="e">
        <f t="shared" si="88"/>
        <v>#N/A</v>
      </c>
      <c r="AS26" s="173">
        <f t="shared" ref="AS26:AS28" si="93">RANK(BD26,$BD$25:$BD$28)</f>
        <v>3</v>
      </c>
      <c r="AT26" s="173" t="str">
        <f>VLOOKUP("d2",TeamTbl,2,FALSE)</f>
        <v>Croatia</v>
      </c>
      <c r="AU26" s="23" t="s">
        <v>164</v>
      </c>
      <c r="AV26" s="24">
        <f>COUNTIF(AA$4:AB$41,AT26)</f>
        <v>0</v>
      </c>
      <c r="AW26" s="23">
        <f>SUMIF($AA$6:$AB$41,AT26,$AC$6:$AD$41)</f>
        <v>0</v>
      </c>
      <c r="AX26" s="23">
        <f t="shared" si="34"/>
        <v>0</v>
      </c>
      <c r="AY26" s="25">
        <f t="shared" ref="AY26:AY28" si="94">BK26</f>
        <v>11.1</v>
      </c>
      <c r="AZ26" s="23">
        <f t="shared" ref="AZ26:AZ28" si="95">BA26-BB26</f>
        <v>0</v>
      </c>
      <c r="BA26" s="23">
        <f>SUMIF(I$6:J$41,AT26,K$6:L$41)</f>
        <v>0</v>
      </c>
      <c r="BB26" s="23">
        <f>SUMIF(I$6:J$41,AT26,L$6:M$41)</f>
        <v>0</v>
      </c>
      <c r="BC26" s="23">
        <f>VLOOKUP(AT26,Tbl,4,FALSE)</f>
        <v>91</v>
      </c>
      <c r="BD26" s="26">
        <f t="shared" ref="BD26:BD28" si="96">RANK(AW26,$AW$25:$AW$28,1)*1000+RANK(AY26,$AY$25:$AY$28,1)+RANK(AZ26,$AZ$25:$AZ$28,1)*100+RANK(BA26,$BA$25:$BA$28,1)*10+RANK(BC26,$BC$25:$BC$28,0)*0.01</f>
        <v>1111.02</v>
      </c>
      <c r="BE26" s="23">
        <f t="shared" ref="BE26:BE28" si="97">COUNTIF($AW$25:$AW$28,AW26)</f>
        <v>4</v>
      </c>
      <c r="BF26" s="24">
        <f t="shared" ref="BF26:BF28" si="98">IF(BE26=1,0,1)</f>
        <v>1</v>
      </c>
      <c r="BG26" s="23">
        <f>SUMIF($AA$6:$AB$41,AT26,$AQ$6:$AR$41)</f>
        <v>0</v>
      </c>
      <c r="BH26" s="23">
        <f t="shared" ref="BH26:BH28" si="99">BI26-BJ26</f>
        <v>0</v>
      </c>
      <c r="BI26" s="23">
        <f>SUMIFS($K$6:$L$41,$AA$6:$AB$41,AT26,$AN$6:$AO$41,"&gt;0")</f>
        <v>0</v>
      </c>
      <c r="BJ26" s="23">
        <f>SUMIFS($L$6:$M$41,$AA$6:$AB$41,AT26,$AN$6:$AO$41,"&gt;0")</f>
        <v>0</v>
      </c>
      <c r="BK26" s="25">
        <f t="shared" ref="BK26:BK28" si="100">RANK(BG26,$BG$25:$BG$28,1)*10+RANK(BH26,$BH$25:$BH$28,1)+RANK(BI26,$BI$25:$BI$28,1)*0.1</f>
        <v>11.1</v>
      </c>
      <c r="BL26" s="22" t="str">
        <f>IF(VLOOKUP(R26,$AT$25:$BJ$28,5,FALSE)&gt;0,VLOOKUP(R26,$AT$25:$BJ$28,14,FALSE),"")</f>
        <v/>
      </c>
      <c r="BM26" s="22" t="str">
        <f>IF(VLOOKUP(R26,$AT$25:$BJ$28,5,FALSE)&gt;0,VLOOKUP(R26,$AT$25:$BJ$28,16,FALSE),"")</f>
        <v/>
      </c>
      <c r="BN26" s="22" t="str">
        <f>IF(VLOOKUP(R26,$AT$25:$BJ$28,5,FALSE)&gt;0,VLOOKUP(R26,$AT$25:$BJ$28,17,FALSE),"")</f>
        <v/>
      </c>
      <c r="BO26" s="22" t="str">
        <f t="shared" ref="BO26:BO28" si="101">IF(BL26&lt;&gt;"",BM26-BN26,"")</f>
        <v/>
      </c>
      <c r="BP26" s="116"/>
    </row>
    <row r="27" spans="2:68" ht="15" customHeight="1">
      <c r="B27" s="38">
        <v>24</v>
      </c>
      <c r="C27" s="35">
        <v>43273.666666666664</v>
      </c>
      <c r="D27" s="38" t="s">
        <v>211</v>
      </c>
      <c r="E27" s="38" t="s">
        <v>210</v>
      </c>
      <c r="F27" s="119"/>
      <c r="G27" s="74">
        <f>C27+TimesInd/24</f>
        <v>43273.8125</v>
      </c>
      <c r="H27" s="75" t="str">
        <f t="shared" si="28"/>
        <v>Fri</v>
      </c>
      <c r="I27" s="76" t="str">
        <f t="shared" si="14"/>
        <v>Nigeria</v>
      </c>
      <c r="J27" s="76" t="str">
        <f t="shared" si="15"/>
        <v>Iceland</v>
      </c>
      <c r="K27" s="132"/>
      <c r="L27" s="133"/>
      <c r="M27" s="83">
        <f t="shared" si="16"/>
        <v>0</v>
      </c>
      <c r="N27" s="222"/>
      <c r="O27" s="223"/>
      <c r="P27" s="107" t="s">
        <v>210</v>
      </c>
      <c r="Q27" s="49">
        <v>3</v>
      </c>
      <c r="R27" s="50" t="str">
        <f>VLOOKUP(Q27,$AS$25:$AZ$28,2,FALSE)</f>
        <v>Croatia</v>
      </c>
      <c r="S27" s="49">
        <f>VLOOKUP(R27,$AT$25:$BB$28,3,FALSE)</f>
        <v>0</v>
      </c>
      <c r="T27" s="49">
        <f>VLOOKUP(R27,$AT$25:$BB$28,4,FALSE)</f>
        <v>0</v>
      </c>
      <c r="U27" s="49">
        <f>VLOOKUP(R27,$AT$25:$BB$28,8,FALSE)</f>
        <v>0</v>
      </c>
      <c r="V27" s="49">
        <f>VLOOKUP(R27,$AT$25:$BB$28,9,FALSE)</f>
        <v>0</v>
      </c>
      <c r="W27" s="49">
        <f t="shared" si="92"/>
        <v>0</v>
      </c>
      <c r="X27" s="49">
        <f>VLOOKUP(R27,$AT$25:$BC$28,10,FALSE)</f>
        <v>91</v>
      </c>
      <c r="Y27" s="130"/>
      <c r="Z27" s="176">
        <f>VLOOKUP(R27,$AT$25:$BE$28,12,FALSE)</f>
        <v>4</v>
      </c>
      <c r="AA27" s="177" t="str">
        <f t="shared" si="17"/>
        <v/>
      </c>
      <c r="AB27" s="177" t="str">
        <f t="shared" si="18"/>
        <v/>
      </c>
      <c r="AC27" s="177">
        <f t="shared" si="19"/>
        <v>0</v>
      </c>
      <c r="AD27" s="177">
        <f t="shared" si="20"/>
        <v>0</v>
      </c>
      <c r="AE27" s="177" t="e">
        <f t="shared" si="81"/>
        <v>#N/A</v>
      </c>
      <c r="AF27" s="177" t="e">
        <f t="shared" si="81"/>
        <v>#N/A</v>
      </c>
      <c r="AG27" s="177" t="e">
        <f t="shared" si="29"/>
        <v>#N/A</v>
      </c>
      <c r="AH27" s="177" t="e">
        <f t="shared" si="82"/>
        <v>#N/A</v>
      </c>
      <c r="AI27" s="177" t="e">
        <f t="shared" si="82"/>
        <v>#N/A</v>
      </c>
      <c r="AJ27" s="177" t="e">
        <f t="shared" si="89"/>
        <v>#N/A</v>
      </c>
      <c r="AK27" s="177" t="e">
        <f t="shared" si="83"/>
        <v>#N/A</v>
      </c>
      <c r="AL27" s="177" t="e">
        <f t="shared" si="83"/>
        <v>#N/A</v>
      </c>
      <c r="AM27" s="177" t="e">
        <f t="shared" si="90"/>
        <v>#N/A</v>
      </c>
      <c r="AN27" s="177" t="e">
        <f t="shared" si="84"/>
        <v>#N/A</v>
      </c>
      <c r="AO27" s="177" t="e">
        <f t="shared" si="85"/>
        <v>#N/A</v>
      </c>
      <c r="AP27" s="177" t="e">
        <f t="shared" si="91"/>
        <v>#N/A</v>
      </c>
      <c r="AQ27" s="177" t="e">
        <f t="shared" si="87"/>
        <v>#N/A</v>
      </c>
      <c r="AR27" s="177" t="e">
        <f t="shared" si="88"/>
        <v>#N/A</v>
      </c>
      <c r="AS27" s="173">
        <f t="shared" si="93"/>
        <v>4</v>
      </c>
      <c r="AT27" s="173" t="str">
        <f>VLOOKUP("d3",TeamTbl,2,FALSE)</f>
        <v>Iceland</v>
      </c>
      <c r="AU27" s="23" t="s">
        <v>164</v>
      </c>
      <c r="AV27" s="24">
        <f>COUNTIF(AA$4:AB$41,AT27)</f>
        <v>0</v>
      </c>
      <c r="AW27" s="23">
        <f>SUMIF($AA$6:$AB$41,AT27,$AC$6:$AD$41)</f>
        <v>0</v>
      </c>
      <c r="AX27" s="23">
        <f t="shared" si="34"/>
        <v>0</v>
      </c>
      <c r="AY27" s="25">
        <f t="shared" si="94"/>
        <v>11.1</v>
      </c>
      <c r="AZ27" s="23">
        <f t="shared" si="95"/>
        <v>0</v>
      </c>
      <c r="BA27" s="23">
        <f>SUMIF(I$6:J$41,AT27,K$6:L$41)</f>
        <v>0</v>
      </c>
      <c r="BB27" s="23">
        <f>SUMIF(I$6:J$41,AT27,L$6:M$41)</f>
        <v>0</v>
      </c>
      <c r="BC27" s="23">
        <f>VLOOKUP(AT27,Tbl,4,FALSE)</f>
        <v>99</v>
      </c>
      <c r="BD27" s="26">
        <f t="shared" si="96"/>
        <v>1111.01</v>
      </c>
      <c r="BE27" s="23">
        <f t="shared" si="97"/>
        <v>4</v>
      </c>
      <c r="BF27" s="24">
        <f t="shared" si="98"/>
        <v>1</v>
      </c>
      <c r="BG27" s="23">
        <f>SUMIF($AA$6:$AB$41,AT27,$AQ$6:$AR$41)</f>
        <v>0</v>
      </c>
      <c r="BH27" s="23">
        <f t="shared" si="99"/>
        <v>0</v>
      </c>
      <c r="BI27" s="23">
        <f>SUMIFS($K$6:$L$41,$AA$6:$AB$41,AT27,$AN$6:$AO$41,"&gt;0")</f>
        <v>0</v>
      </c>
      <c r="BJ27" s="23">
        <f>SUMIFS($L$6:$M$41,$AA$6:$AB$41,AT27,$AN$6:$AO$41,"&gt;0")</f>
        <v>0</v>
      </c>
      <c r="BK27" s="25">
        <f t="shared" si="100"/>
        <v>11.1</v>
      </c>
      <c r="BL27" s="22" t="str">
        <f>IF(VLOOKUP(R27,$AT$25:$BJ$28,5,FALSE)&gt;0,VLOOKUP(R27,$AT$25:$BJ$28,14,FALSE),"")</f>
        <v/>
      </c>
      <c r="BM27" s="22" t="str">
        <f>IF(VLOOKUP(R27,$AT$25:$BJ$28,5,FALSE)&gt;0,VLOOKUP(R27,$AT$25:$BJ$28,16,FALSE),"")</f>
        <v/>
      </c>
      <c r="BN27" s="22" t="str">
        <f>IF(VLOOKUP(R27,$AT$25:$BJ$28,5,FALSE)&gt;0,VLOOKUP(R27,$AT$25:$BJ$28,17,FALSE),"")</f>
        <v/>
      </c>
      <c r="BO27" s="22" t="str">
        <f t="shared" si="101"/>
        <v/>
      </c>
      <c r="BP27" s="116"/>
    </row>
    <row r="28" spans="2:68" ht="15" customHeight="1">
      <c r="B28" s="38">
        <v>39</v>
      </c>
      <c r="C28" s="35">
        <v>43277.791666666664</v>
      </c>
      <c r="D28" s="38" t="s">
        <v>211</v>
      </c>
      <c r="E28" s="38" t="s">
        <v>208</v>
      </c>
      <c r="F28" s="119"/>
      <c r="G28" s="74">
        <f>C28+TimesInd/24</f>
        <v>43277.9375</v>
      </c>
      <c r="H28" s="75" t="str">
        <f t="shared" si="28"/>
        <v>Tue</v>
      </c>
      <c r="I28" s="76" t="str">
        <f t="shared" si="14"/>
        <v>Nigeria</v>
      </c>
      <c r="J28" s="76" t="str">
        <f t="shared" si="15"/>
        <v>Argentina</v>
      </c>
      <c r="K28" s="132"/>
      <c r="L28" s="133"/>
      <c r="M28" s="83">
        <f t="shared" si="16"/>
        <v>0</v>
      </c>
      <c r="N28" s="222"/>
      <c r="O28" s="223"/>
      <c r="P28" s="107" t="s">
        <v>211</v>
      </c>
      <c r="Q28" s="49">
        <v>4</v>
      </c>
      <c r="R28" s="50" t="str">
        <f>VLOOKUP(Q28,$AS$25:$AZ$28,2,FALSE)</f>
        <v>Iceland</v>
      </c>
      <c r="S28" s="49">
        <f>VLOOKUP(R28,$AT$25:$BB$28,3,FALSE)</f>
        <v>0</v>
      </c>
      <c r="T28" s="49">
        <f>VLOOKUP(R28,$AT$25:$BB$28,4,FALSE)</f>
        <v>0</v>
      </c>
      <c r="U28" s="49">
        <f>VLOOKUP(R28,$AT$25:$BB$28,8,FALSE)</f>
        <v>0</v>
      </c>
      <c r="V28" s="49">
        <f>VLOOKUP(R28,$AT$25:$BB$28,9,FALSE)</f>
        <v>0</v>
      </c>
      <c r="W28" s="49">
        <f t="shared" si="92"/>
        <v>0</v>
      </c>
      <c r="X28" s="49">
        <f>VLOOKUP(R28,$AT$25:$BC$28,10,FALSE)</f>
        <v>99</v>
      </c>
      <c r="Y28" s="130"/>
      <c r="Z28" s="176">
        <f>VLOOKUP(R28,$AT$25:$BE$28,12,FALSE)</f>
        <v>4</v>
      </c>
      <c r="AA28" s="177" t="str">
        <f t="shared" si="17"/>
        <v/>
      </c>
      <c r="AB28" s="177" t="str">
        <f t="shared" si="18"/>
        <v/>
      </c>
      <c r="AC28" s="177">
        <f t="shared" si="19"/>
        <v>0</v>
      </c>
      <c r="AD28" s="177">
        <f t="shared" si="20"/>
        <v>0</v>
      </c>
      <c r="AE28" s="177" t="e">
        <f t="shared" si="81"/>
        <v>#N/A</v>
      </c>
      <c r="AF28" s="177" t="e">
        <f t="shared" si="81"/>
        <v>#N/A</v>
      </c>
      <c r="AG28" s="177" t="e">
        <f t="shared" si="29"/>
        <v>#N/A</v>
      </c>
      <c r="AH28" s="177" t="e">
        <f t="shared" si="82"/>
        <v>#N/A</v>
      </c>
      <c r="AI28" s="177" t="e">
        <f t="shared" si="82"/>
        <v>#N/A</v>
      </c>
      <c r="AJ28" s="177" t="e">
        <f t="shared" si="89"/>
        <v>#N/A</v>
      </c>
      <c r="AK28" s="177" t="e">
        <f t="shared" si="83"/>
        <v>#N/A</v>
      </c>
      <c r="AL28" s="177" t="e">
        <f t="shared" si="83"/>
        <v>#N/A</v>
      </c>
      <c r="AM28" s="177" t="e">
        <f t="shared" si="90"/>
        <v>#N/A</v>
      </c>
      <c r="AN28" s="177" t="e">
        <f t="shared" si="84"/>
        <v>#N/A</v>
      </c>
      <c r="AO28" s="177" t="e">
        <f t="shared" si="85"/>
        <v>#N/A</v>
      </c>
      <c r="AP28" s="177" t="e">
        <f t="shared" si="91"/>
        <v>#N/A</v>
      </c>
      <c r="AQ28" s="177" t="e">
        <f t="shared" si="87"/>
        <v>#N/A</v>
      </c>
      <c r="AR28" s="177" t="e">
        <f t="shared" si="88"/>
        <v>#N/A</v>
      </c>
      <c r="AS28" s="173">
        <f t="shared" si="93"/>
        <v>2</v>
      </c>
      <c r="AT28" s="173" t="str">
        <f>VLOOKUP("d4",TeamTbl,2,FALSE)</f>
        <v>Nigeria</v>
      </c>
      <c r="AU28" s="23" t="s">
        <v>164</v>
      </c>
      <c r="AV28" s="24">
        <f>COUNTIF(AA$4:AB$41,AT28)</f>
        <v>0</v>
      </c>
      <c r="AW28" s="23">
        <f>SUMIF($AA$6:$AB$41,AT28,$AC$6:$AD$41)</f>
        <v>0</v>
      </c>
      <c r="AX28" s="23">
        <f t="shared" si="34"/>
        <v>0</v>
      </c>
      <c r="AY28" s="25">
        <f t="shared" si="94"/>
        <v>11.1</v>
      </c>
      <c r="AZ28" s="23">
        <f t="shared" si="95"/>
        <v>0</v>
      </c>
      <c r="BA28" s="23">
        <f>SUMIF(I$6:J$41,AT28,K$6:L$41)</f>
        <v>0</v>
      </c>
      <c r="BB28" s="23">
        <f>SUMIF(I$6:J$41,AT28,L$6:M$41)</f>
        <v>0</v>
      </c>
      <c r="BC28" s="23">
        <f>VLOOKUP(AT28,Tbl,4,FALSE)</f>
        <v>59</v>
      </c>
      <c r="BD28" s="26">
        <f t="shared" si="96"/>
        <v>1111.03</v>
      </c>
      <c r="BE28" s="23">
        <f t="shared" si="97"/>
        <v>4</v>
      </c>
      <c r="BF28" s="24">
        <f t="shared" si="98"/>
        <v>1</v>
      </c>
      <c r="BG28" s="23">
        <f>SUMIF($AA$6:$AB$41,AT28,$AQ$6:$AR$41)</f>
        <v>0</v>
      </c>
      <c r="BH28" s="23">
        <f t="shared" si="99"/>
        <v>0</v>
      </c>
      <c r="BI28" s="23">
        <f>SUMIFS($K$6:$L$41,$AA$6:$AB$41,AT28,$AN$6:$AO$41,"&gt;0")</f>
        <v>0</v>
      </c>
      <c r="BJ28" s="23">
        <f>SUMIFS($L$6:$M$41,$AA$6:$AB$41,AT28,$AN$6:$AO$41,"&gt;0")</f>
        <v>0</v>
      </c>
      <c r="BK28" s="25">
        <f t="shared" si="100"/>
        <v>11.1</v>
      </c>
      <c r="BL28" s="22" t="str">
        <f>IF(VLOOKUP(R28,$AT$25:$BJ$28,5,FALSE)&gt;0,VLOOKUP(R28,$AT$25:$BJ$28,14,FALSE),"")</f>
        <v/>
      </c>
      <c r="BM28" s="22" t="str">
        <f>IF(VLOOKUP(R28,$AT$25:$BJ$28,5,FALSE)&gt;0,VLOOKUP(R28,$AT$25:$BJ$28,16,FALSE),"")</f>
        <v/>
      </c>
      <c r="BN28" s="22" t="str">
        <f>IF(VLOOKUP(R28,$AT$25:$BJ$28,5,FALSE)&gt;0,VLOOKUP(R28,$AT$25:$BJ$28,17,FALSE),"")</f>
        <v/>
      </c>
      <c r="BO28" s="22" t="str">
        <f t="shared" si="101"/>
        <v/>
      </c>
      <c r="BP28" s="116"/>
    </row>
    <row r="29" spans="2:68" ht="15" customHeight="1" thickBot="1">
      <c r="B29" s="38">
        <v>40</v>
      </c>
      <c r="C29" s="35">
        <v>43277.666666666664</v>
      </c>
      <c r="D29" s="38" t="s">
        <v>210</v>
      </c>
      <c r="E29" s="38" t="s">
        <v>209</v>
      </c>
      <c r="F29" s="158"/>
      <c r="G29" s="159">
        <f>C29+TimesInd/24</f>
        <v>43277.8125</v>
      </c>
      <c r="H29" s="148" t="str">
        <f t="shared" si="28"/>
        <v>Tue</v>
      </c>
      <c r="I29" s="149" t="str">
        <f t="shared" si="14"/>
        <v>Iceland</v>
      </c>
      <c r="J29" s="149" t="str">
        <f t="shared" si="15"/>
        <v>Croatia</v>
      </c>
      <c r="K29" s="150"/>
      <c r="L29" s="151"/>
      <c r="M29" s="152">
        <f t="shared" si="16"/>
        <v>0</v>
      </c>
      <c r="N29" s="224"/>
      <c r="O29" s="225"/>
      <c r="P29" s="153"/>
      <c r="Q29" s="154"/>
      <c r="R29" s="155"/>
      <c r="S29" s="154"/>
      <c r="T29" s="154"/>
      <c r="U29" s="154"/>
      <c r="V29" s="154"/>
      <c r="W29" s="154"/>
      <c r="X29" s="154"/>
      <c r="Y29" s="154"/>
      <c r="Z29" s="178"/>
      <c r="AA29" s="179" t="str">
        <f t="shared" si="17"/>
        <v/>
      </c>
      <c r="AB29" s="179" t="str">
        <f t="shared" si="18"/>
        <v/>
      </c>
      <c r="AC29" s="179">
        <f t="shared" si="19"/>
        <v>0</v>
      </c>
      <c r="AD29" s="179">
        <f t="shared" si="20"/>
        <v>0</v>
      </c>
      <c r="AE29" s="179" t="e">
        <f t="shared" si="81"/>
        <v>#N/A</v>
      </c>
      <c r="AF29" s="179" t="e">
        <f t="shared" si="81"/>
        <v>#N/A</v>
      </c>
      <c r="AG29" s="179" t="e">
        <f t="shared" si="29"/>
        <v>#N/A</v>
      </c>
      <c r="AH29" s="179" t="e">
        <f t="shared" si="82"/>
        <v>#N/A</v>
      </c>
      <c r="AI29" s="179" t="e">
        <f t="shared" si="82"/>
        <v>#N/A</v>
      </c>
      <c r="AJ29" s="179" t="e">
        <f t="shared" ref="AJ29" si="102">IF(SUM(AH29:AI29)=2,1,0)</f>
        <v>#N/A</v>
      </c>
      <c r="AK29" s="179" t="e">
        <f t="shared" si="83"/>
        <v>#N/A</v>
      </c>
      <c r="AL29" s="179" t="e">
        <f t="shared" si="83"/>
        <v>#N/A</v>
      </c>
      <c r="AM29" s="179" t="e">
        <f t="shared" ref="AM29" si="103">IF(SUM(AK29:AL29)=2,1,0)</f>
        <v>#N/A</v>
      </c>
      <c r="AN29" s="179" t="e">
        <f t="shared" si="84"/>
        <v>#N/A</v>
      </c>
      <c r="AO29" s="179" t="e">
        <f t="shared" si="85"/>
        <v>#N/A</v>
      </c>
      <c r="AP29" s="179" t="e">
        <f t="shared" ref="AP29:AP30" si="104">AN29</f>
        <v>#N/A</v>
      </c>
      <c r="AQ29" s="179" t="e">
        <f t="shared" si="87"/>
        <v>#N/A</v>
      </c>
      <c r="AR29" s="179" t="e">
        <f t="shared" si="88"/>
        <v>#N/A</v>
      </c>
      <c r="AS29" s="211"/>
      <c r="AT29" s="212"/>
      <c r="AU29" s="212"/>
      <c r="AV29" s="212"/>
      <c r="AW29" s="212"/>
      <c r="AX29" s="212"/>
      <c r="AY29" s="212"/>
      <c r="AZ29" s="212"/>
      <c r="BA29" s="212"/>
      <c r="BB29" s="212"/>
      <c r="BC29" s="212"/>
      <c r="BD29" s="213"/>
      <c r="BE29" s="113">
        <f>SUM(BE25:BE28)</f>
        <v>16</v>
      </c>
      <c r="BF29" s="114">
        <f>MIN(AW25:AW28)</f>
        <v>0</v>
      </c>
      <c r="BG29" s="114">
        <f>MAX(AW25:AW28)</f>
        <v>0</v>
      </c>
      <c r="BH29" s="211"/>
      <c r="BI29" s="212"/>
      <c r="BJ29" s="212"/>
      <c r="BK29" s="212"/>
      <c r="BL29" s="125"/>
      <c r="BM29" s="125"/>
      <c r="BN29" s="125"/>
      <c r="BO29" s="125"/>
      <c r="BP29" s="156"/>
    </row>
    <row r="30" spans="2:68" ht="15" customHeight="1" thickBot="1">
      <c r="B30" s="38">
        <v>10</v>
      </c>
      <c r="C30" s="35">
        <v>43268.541666666664</v>
      </c>
      <c r="D30" s="38" t="s">
        <v>212</v>
      </c>
      <c r="E30" s="38" t="s">
        <v>213</v>
      </c>
      <c r="F30" s="117"/>
      <c r="G30" s="157">
        <f>C30+TimesInd/24</f>
        <v>43268.6875</v>
      </c>
      <c r="H30" s="136" t="str">
        <f t="shared" si="28"/>
        <v>Sun</v>
      </c>
      <c r="I30" s="137" t="str">
        <f t="shared" si="14"/>
        <v>Costa Rica</v>
      </c>
      <c r="J30" s="137" t="str">
        <f t="shared" si="15"/>
        <v>Serbia</v>
      </c>
      <c r="K30" s="138"/>
      <c r="L30" s="139"/>
      <c r="M30" s="140">
        <f t="shared" si="16"/>
        <v>0</v>
      </c>
      <c r="N30" s="220" t="s">
        <v>165</v>
      </c>
      <c r="O30" s="221"/>
      <c r="P30" s="141"/>
      <c r="Q30" s="142"/>
      <c r="R30" s="143"/>
      <c r="S30" s="142"/>
      <c r="T30" s="142"/>
      <c r="U30" s="142"/>
      <c r="V30" s="142"/>
      <c r="W30" s="142"/>
      <c r="X30" s="142"/>
      <c r="Y30" s="142"/>
      <c r="Z30" s="174"/>
      <c r="AA30" s="175" t="str">
        <f t="shared" ref="AA30" si="105">IF(K30&lt;&gt;"",I30,"")</f>
        <v/>
      </c>
      <c r="AB30" s="175" t="str">
        <f t="shared" ref="AB30" si="106">IF(L30&lt;&gt;"",J30,"")</f>
        <v/>
      </c>
      <c r="AC30" s="175">
        <f t="shared" ref="AC30" si="107">IF(AND(L30&lt;&gt;"",K30&lt;&gt;"",K30&gt;L30),3,IF(AND(L30&lt;&gt;"",K30&lt;&gt;"",K30=L30),1,0))</f>
        <v>0</v>
      </c>
      <c r="AD30" s="175">
        <f t="shared" ref="AD30" si="108">IF(AND(L30&lt;&gt;"",K30&lt;&gt;"",K30&lt;L30),3,IF(AND(K30&lt;&gt;"",L30&lt;&gt;"",K30=L30),1,0))</f>
        <v>0</v>
      </c>
      <c r="AE30" s="175" t="e">
        <f t="shared" ref="AE30" si="109">VLOOKUP(AA30,$AT$30:$BF$34,13,FALSE)</f>
        <v>#N/A</v>
      </c>
      <c r="AF30" s="175" t="e">
        <f t="shared" ref="AF30" si="110">VLOOKUP(AB30,$AT$30:$BF$34,13,FALSE)</f>
        <v>#N/A</v>
      </c>
      <c r="AG30" s="175" t="e">
        <f t="shared" ref="AG30" si="111">IF(SUM(AE30:AF30)=2,1,0)</f>
        <v>#N/A</v>
      </c>
      <c r="AH30" s="175" t="e">
        <f t="shared" ref="AH30" si="112">IF(VLOOKUP(AA30,$AT$31:$BE$34,4,FALSE)=$BF$35,1,0)</f>
        <v>#N/A</v>
      </c>
      <c r="AI30" s="175" t="e">
        <f t="shared" ref="AI30" si="113">IF(VLOOKUP(AB30,$AT$31:$BE$34,4,FALSE)=$BF$35,1,0)</f>
        <v>#N/A</v>
      </c>
      <c r="AJ30" s="175" t="e">
        <f t="shared" ref="AJ30" si="114">IF(SUM(AH30:AI30)=2,1,0)</f>
        <v>#N/A</v>
      </c>
      <c r="AK30" s="175" t="e">
        <f t="shared" ref="AK30" si="115">IF(VLOOKUP(AA30,$AT$31:$BE$34,4,FALSE)=$BG$35,1,0)</f>
        <v>#N/A</v>
      </c>
      <c r="AL30" s="175" t="e">
        <f t="shared" ref="AL30" si="116">IF(VLOOKUP(AB30,$AT$31:$BE$34,4,FALSE)=$BG$35,1,0)</f>
        <v>#N/A</v>
      </c>
      <c r="AM30" s="175" t="e">
        <f t="shared" ref="AM30" si="117">IF(SUM(AK30:AL30)=2,1,0)</f>
        <v>#N/A</v>
      </c>
      <c r="AN30" s="175" t="e">
        <f t="shared" ref="AN30" si="118">IF(IndE=8,K30*AJ30+K30*AM30,AG30)</f>
        <v>#N/A</v>
      </c>
      <c r="AO30" s="175" t="e">
        <f t="shared" ref="AO30" si="119">IF(IndE=8,L30*AJ30+L30*AM30,AG30)</f>
        <v>#N/A</v>
      </c>
      <c r="AP30" s="175" t="e">
        <f t="shared" si="104"/>
        <v>#N/A</v>
      </c>
      <c r="AQ30" s="175" t="e">
        <f t="shared" ref="AQ30" si="120">IF(IndE=8,AC30*AJ30+AC30*AM30,AG30)</f>
        <v>#N/A</v>
      </c>
      <c r="AR30" s="175" t="e">
        <f t="shared" ref="AR30" si="121">IF(IndE=8,AD30*AJ30+AD30*AM30,AG30)</f>
        <v>#N/A</v>
      </c>
      <c r="AS30" s="216" t="s">
        <v>159</v>
      </c>
      <c r="AT30" s="217" t="s">
        <v>3</v>
      </c>
      <c r="AU30" s="217" t="s">
        <v>172</v>
      </c>
      <c r="AV30" s="217" t="s">
        <v>86</v>
      </c>
      <c r="AW30" s="217" t="s">
        <v>5</v>
      </c>
      <c r="AX30" s="217" t="s">
        <v>187</v>
      </c>
      <c r="AY30" s="217" t="s">
        <v>180</v>
      </c>
      <c r="AZ30" s="217" t="s">
        <v>2</v>
      </c>
      <c r="BA30" s="217" t="s">
        <v>0</v>
      </c>
      <c r="BB30" s="217" t="s">
        <v>1</v>
      </c>
      <c r="BC30" s="217" t="s">
        <v>78</v>
      </c>
      <c r="BD30" s="218" t="s">
        <v>87</v>
      </c>
      <c r="BE30" s="144" t="s">
        <v>185</v>
      </c>
      <c r="BF30" s="145" t="s">
        <v>186</v>
      </c>
      <c r="BG30" s="145" t="s">
        <v>5</v>
      </c>
      <c r="BH30" s="216" t="s">
        <v>179</v>
      </c>
      <c r="BI30" s="217" t="s">
        <v>0</v>
      </c>
      <c r="BJ30" s="217" t="s">
        <v>1</v>
      </c>
      <c r="BK30" s="217" t="s">
        <v>184</v>
      </c>
      <c r="BL30" s="146"/>
      <c r="BM30" s="146"/>
      <c r="BN30" s="146"/>
      <c r="BO30" s="146"/>
      <c r="BP30" s="147"/>
    </row>
    <row r="31" spans="2:68" ht="15" customHeight="1">
      <c r="B31" s="38">
        <v>9</v>
      </c>
      <c r="C31" s="35">
        <v>43268.666666666664</v>
      </c>
      <c r="D31" s="38" t="s">
        <v>214</v>
      </c>
      <c r="E31" s="38" t="s">
        <v>215</v>
      </c>
      <c r="F31" s="119"/>
      <c r="G31" s="74">
        <f>C31+TimesInd/24</f>
        <v>43268.8125</v>
      </c>
      <c r="H31" s="75" t="str">
        <f t="shared" si="28"/>
        <v>Sun</v>
      </c>
      <c r="I31" s="76" t="str">
        <f t="shared" si="14"/>
        <v>Brazil</v>
      </c>
      <c r="J31" s="76" t="str">
        <f t="shared" si="15"/>
        <v>Switzerland</v>
      </c>
      <c r="K31" s="132"/>
      <c r="L31" s="133"/>
      <c r="M31" s="83">
        <f t="shared" si="16"/>
        <v>0</v>
      </c>
      <c r="N31" s="222"/>
      <c r="O31" s="223"/>
      <c r="P31" s="107" t="s">
        <v>214</v>
      </c>
      <c r="Q31" s="53">
        <v>1</v>
      </c>
      <c r="R31" s="54" t="str">
        <f>VLOOKUP(Q31,$AS$31:$AZ$34,2,FALSE)</f>
        <v>Brazil</v>
      </c>
      <c r="S31" s="53">
        <f>VLOOKUP(R31,$AT$31:$BB$34,3,FALSE)</f>
        <v>0</v>
      </c>
      <c r="T31" s="53">
        <f>VLOOKUP(R31,$AT$31:$BB$34,4,FALSE)</f>
        <v>0</v>
      </c>
      <c r="U31" s="53">
        <f>VLOOKUP(R31,$AT$31:$BB$34,8,FALSE)</f>
        <v>0</v>
      </c>
      <c r="V31" s="53">
        <f>VLOOKUP(R31,$AT$31:$BB$34,9,FALSE)</f>
        <v>0</v>
      </c>
      <c r="W31" s="53">
        <f>U31-V31</f>
        <v>0</v>
      </c>
      <c r="X31" s="53">
        <f>VLOOKUP(R31,$AT$31:$BC$34,10,FALSE)</f>
        <v>5</v>
      </c>
      <c r="Y31" s="130"/>
      <c r="Z31" s="176">
        <f>VLOOKUP(R31,$AT$31:$BE$34,12,FALSE)</f>
        <v>4</v>
      </c>
      <c r="AA31" s="177" t="str">
        <f t="shared" si="17"/>
        <v/>
      </c>
      <c r="AB31" s="177" t="str">
        <f t="shared" si="18"/>
        <v/>
      </c>
      <c r="AC31" s="177">
        <f t="shared" si="19"/>
        <v>0</v>
      </c>
      <c r="AD31" s="177">
        <f t="shared" si="20"/>
        <v>0</v>
      </c>
      <c r="AE31" s="177" t="e">
        <f t="shared" ref="AE31:AF35" si="122">VLOOKUP(AA31,$AT$30:$BF$34,13,FALSE)</f>
        <v>#N/A</v>
      </c>
      <c r="AF31" s="177" t="e">
        <f t="shared" si="122"/>
        <v>#N/A</v>
      </c>
      <c r="AG31" s="177" t="e">
        <f t="shared" si="29"/>
        <v>#N/A</v>
      </c>
      <c r="AH31" s="177" t="e">
        <f t="shared" ref="AH31:AI35" si="123">IF(VLOOKUP(AA31,$AT$31:$BE$34,4,FALSE)=$BF$35,1,0)</f>
        <v>#N/A</v>
      </c>
      <c r="AI31" s="177" t="e">
        <f t="shared" si="123"/>
        <v>#N/A</v>
      </c>
      <c r="AJ31" s="177" t="e">
        <f t="shared" ref="AJ31:AJ34" si="124">IF(SUM(AH31:AI31)=2,1,0)</f>
        <v>#N/A</v>
      </c>
      <c r="AK31" s="177" t="e">
        <f t="shared" ref="AK31:AL35" si="125">IF(VLOOKUP(AA31,$AT$31:$BE$34,4,FALSE)=$BG$35,1,0)</f>
        <v>#N/A</v>
      </c>
      <c r="AL31" s="177" t="e">
        <f t="shared" si="125"/>
        <v>#N/A</v>
      </c>
      <c r="AM31" s="177" t="e">
        <f t="shared" ref="AM31:AM34" si="126">IF(SUM(AK31:AL31)=2,1,0)</f>
        <v>#N/A</v>
      </c>
      <c r="AN31" s="177" t="e">
        <f t="shared" ref="AN31:AN35" si="127">IF(IndE=8,K31*AJ31+K31*AM31,AG31)</f>
        <v>#N/A</v>
      </c>
      <c r="AO31" s="177" t="e">
        <f t="shared" ref="AO31:AO35" si="128">IF(IndE=8,L31*AJ31+L31*AM31,AG31)</f>
        <v>#N/A</v>
      </c>
      <c r="AP31" s="177" t="e">
        <f t="shared" ref="AP31:AP34" si="129">AN31</f>
        <v>#N/A</v>
      </c>
      <c r="AQ31" s="177" t="e">
        <f t="shared" ref="AQ31:AQ35" si="130">IF(IndE=8,AC31*AJ31+AC31*AM31,AG31)</f>
        <v>#N/A</v>
      </c>
      <c r="AR31" s="177" t="e">
        <f t="shared" ref="AR31:AR35" si="131">IF(IndE=8,AD31*AJ31+AD31*AM31,AG31)</f>
        <v>#N/A</v>
      </c>
      <c r="AS31" s="173">
        <f>RANK(BD31,$BD$31:$BD$34)</f>
        <v>1</v>
      </c>
      <c r="AT31" s="173" t="str">
        <f>VLOOKUP("e1",TeamTbl,2,FALSE)</f>
        <v>Brazil</v>
      </c>
      <c r="AU31" s="23" t="s">
        <v>165</v>
      </c>
      <c r="AV31" s="24">
        <f>COUNTIF(AA$4:AB$53,AT31)</f>
        <v>0</v>
      </c>
      <c r="AW31" s="23">
        <f>SUMIF($AA$6:$AB$41,AT31,$AC$6:$AD$41)</f>
        <v>0</v>
      </c>
      <c r="AX31" s="23">
        <f t="shared" si="34"/>
        <v>0</v>
      </c>
      <c r="AY31" s="25">
        <f>BK31</f>
        <v>11.1</v>
      </c>
      <c r="AZ31" s="23">
        <f>BA31-BB31</f>
        <v>0</v>
      </c>
      <c r="BA31" s="23">
        <f>SUMIF(I$6:J$41,AT31,K$6:L$41)</f>
        <v>0</v>
      </c>
      <c r="BB31" s="23">
        <f>SUMIF(I$6:J$41,AT31,L$6:M$41)</f>
        <v>0</v>
      </c>
      <c r="BC31" s="23">
        <f>VLOOKUP(AT31,Tbl,4,FALSE)</f>
        <v>5</v>
      </c>
      <c r="BD31" s="26">
        <f>RANK(AW31,$AW$31:$AW$34,1)*1000+RANK(AY31,$AY$31:$AY$34,1)+RANK(AZ31,$AZ$31:$AZ$34,1)*100+RANK(BA31,$BA$31:$BA$34,1)*10+RANK(BC31,$BC$31:$BC$34,0)*0.01</f>
        <v>1111.04</v>
      </c>
      <c r="BE31" s="23">
        <f>COUNTIF($AW$31:$AW$34,AW31)</f>
        <v>4</v>
      </c>
      <c r="BF31" s="24">
        <f>IF(BE31=1,0,1)</f>
        <v>1</v>
      </c>
      <c r="BG31" s="23">
        <f>SUMIF($AA$6:$AB$41,AT31,$AQ$6:$AR$41)</f>
        <v>0</v>
      </c>
      <c r="BH31" s="23">
        <f>BI31-BJ31</f>
        <v>0</v>
      </c>
      <c r="BI31" s="23">
        <f>SUMIFS($K$6:$L$41,$AA$6:$AB$41,AT31,$AN$6:$AO$41,"&gt;0")</f>
        <v>0</v>
      </c>
      <c r="BJ31" s="23">
        <f>SUMIFS($L$6:$M$41,$AA$6:$AB$41,AT31,$AN$6:$AO$41,"&gt;0")</f>
        <v>0</v>
      </c>
      <c r="BK31" s="25">
        <f>RANK(BG31,$BG$31:$BG$34,1)*10+RANK(BH31,$BH$31:$BH$34,1)+RANK(BI31,$BI$31:$BI$34,1)*0.1</f>
        <v>11.1</v>
      </c>
      <c r="BL31" s="22" t="str">
        <f>IF(VLOOKUP(R31,$AT$31:$BJ$34,5,FALSE)&gt;0,VLOOKUP(R31,$AT$31:$BJ$34,14,FALSE),"")</f>
        <v/>
      </c>
      <c r="BM31" s="22" t="str">
        <f>IF(VLOOKUP(R31,$AT$31:$BJ$34,5,FALSE)&gt;0,VLOOKUP(R31,$AT$31:$BJ$34,16,FALSE),"")</f>
        <v/>
      </c>
      <c r="BN31" s="22" t="str">
        <f>IF(VLOOKUP(R31,$AT$31:$BJ$34,5,FALSE)&gt;0,VLOOKUP(R31,$AT$31:$BJ$34,17,FALSE),"")</f>
        <v/>
      </c>
      <c r="BO31" s="22" t="str">
        <f>IF(BL31&lt;&gt;"",BM31-BN31,"")</f>
        <v/>
      </c>
      <c r="BP31" s="116"/>
    </row>
    <row r="32" spans="2:68" ht="15" customHeight="1">
      <c r="B32" s="38">
        <v>25</v>
      </c>
      <c r="C32" s="35">
        <v>43273.541666666664</v>
      </c>
      <c r="D32" s="38" t="s">
        <v>214</v>
      </c>
      <c r="E32" s="38" t="s">
        <v>212</v>
      </c>
      <c r="F32" s="119"/>
      <c r="G32" s="74">
        <f>C32+TimesInd/24</f>
        <v>43273.6875</v>
      </c>
      <c r="H32" s="75" t="str">
        <f t="shared" si="28"/>
        <v>Fri</v>
      </c>
      <c r="I32" s="76" t="str">
        <f t="shared" si="14"/>
        <v>Brazil</v>
      </c>
      <c r="J32" s="76" t="str">
        <f t="shared" si="15"/>
        <v>Costa Rica</v>
      </c>
      <c r="K32" s="132"/>
      <c r="L32" s="133"/>
      <c r="M32" s="83">
        <f t="shared" si="16"/>
        <v>0</v>
      </c>
      <c r="N32" s="222"/>
      <c r="O32" s="223"/>
      <c r="P32" s="107" t="s">
        <v>215</v>
      </c>
      <c r="Q32" s="53">
        <v>2</v>
      </c>
      <c r="R32" s="54" t="str">
        <f>VLOOKUP(Q32,$AS$31:$AZ$34,2,FALSE)</f>
        <v>Serbia</v>
      </c>
      <c r="S32" s="53">
        <f>VLOOKUP(R32,$AT$31:$BB$34,3,FALSE)</f>
        <v>0</v>
      </c>
      <c r="T32" s="53">
        <f>VLOOKUP(R32,$AT$31:$BB$34,4,FALSE)</f>
        <v>0</v>
      </c>
      <c r="U32" s="53">
        <f>VLOOKUP(R32,$AT$31:$BB$34,8,FALSE)</f>
        <v>0</v>
      </c>
      <c r="V32" s="53">
        <f>VLOOKUP(R32,$AT$31:$BB$34,9,FALSE)</f>
        <v>0</v>
      </c>
      <c r="W32" s="53">
        <f t="shared" ref="W32:W34" si="132">U32-V32</f>
        <v>0</v>
      </c>
      <c r="X32" s="53">
        <f>VLOOKUP(R32,$AT$31:$BC$34,10,FALSE)</f>
        <v>14</v>
      </c>
      <c r="Y32" s="130"/>
      <c r="Z32" s="176">
        <f>VLOOKUP(R32,$AT$31:$BE$34,12,FALSE)</f>
        <v>4</v>
      </c>
      <c r="AA32" s="177" t="str">
        <f t="shared" si="17"/>
        <v/>
      </c>
      <c r="AB32" s="177" t="str">
        <f t="shared" si="18"/>
        <v/>
      </c>
      <c r="AC32" s="177">
        <f t="shared" si="19"/>
        <v>0</v>
      </c>
      <c r="AD32" s="177">
        <f t="shared" si="20"/>
        <v>0</v>
      </c>
      <c r="AE32" s="177" t="e">
        <f t="shared" si="122"/>
        <v>#N/A</v>
      </c>
      <c r="AF32" s="177" t="e">
        <f t="shared" si="122"/>
        <v>#N/A</v>
      </c>
      <c r="AG32" s="177" t="e">
        <f t="shared" si="29"/>
        <v>#N/A</v>
      </c>
      <c r="AH32" s="177" t="e">
        <f t="shared" si="123"/>
        <v>#N/A</v>
      </c>
      <c r="AI32" s="177" t="e">
        <f t="shared" si="123"/>
        <v>#N/A</v>
      </c>
      <c r="AJ32" s="177" t="e">
        <f t="shared" si="124"/>
        <v>#N/A</v>
      </c>
      <c r="AK32" s="177" t="e">
        <f t="shared" si="125"/>
        <v>#N/A</v>
      </c>
      <c r="AL32" s="177" t="e">
        <f t="shared" si="125"/>
        <v>#N/A</v>
      </c>
      <c r="AM32" s="177" t="e">
        <f t="shared" si="126"/>
        <v>#N/A</v>
      </c>
      <c r="AN32" s="177" t="e">
        <f t="shared" si="127"/>
        <v>#N/A</v>
      </c>
      <c r="AO32" s="177" t="e">
        <f t="shared" si="128"/>
        <v>#N/A</v>
      </c>
      <c r="AP32" s="177" t="e">
        <f t="shared" si="129"/>
        <v>#N/A</v>
      </c>
      <c r="AQ32" s="177" t="e">
        <f t="shared" si="130"/>
        <v>#N/A</v>
      </c>
      <c r="AR32" s="177" t="e">
        <f t="shared" si="131"/>
        <v>#N/A</v>
      </c>
      <c r="AS32" s="173">
        <f t="shared" ref="AS32:AS34" si="133">RANK(BD32,$BD$31:$BD$34)</f>
        <v>4</v>
      </c>
      <c r="AT32" s="173" t="str">
        <f>VLOOKUP("e2",TeamTbl,2,FALSE)</f>
        <v>Switzerland</v>
      </c>
      <c r="AU32" s="23" t="s">
        <v>165</v>
      </c>
      <c r="AV32" s="24">
        <f>COUNTIF(AA$4:AB$53,AT32)</f>
        <v>0</v>
      </c>
      <c r="AW32" s="23">
        <f>SUMIF($AA$6:$AB$41,AT32,$AC$6:$AD$41)</f>
        <v>0</v>
      </c>
      <c r="AX32" s="23">
        <f t="shared" si="34"/>
        <v>0</v>
      </c>
      <c r="AY32" s="25">
        <f t="shared" ref="AY32:AY34" si="134">BK32</f>
        <v>11.1</v>
      </c>
      <c r="AZ32" s="23">
        <f t="shared" ref="AZ32:AZ34" si="135">BA32-BB32</f>
        <v>0</v>
      </c>
      <c r="BA32" s="23">
        <f>SUMIF(I$6:J$41,AT32,K$6:L$41)</f>
        <v>0</v>
      </c>
      <c r="BB32" s="23">
        <f>SUMIF(I$6:J$41,AT32,L$6:M$41)</f>
        <v>0</v>
      </c>
      <c r="BC32" s="23">
        <f>VLOOKUP(AT32,Tbl,4,FALSE)</f>
        <v>100</v>
      </c>
      <c r="BD32" s="26">
        <f t="shared" ref="BD32:BD34" si="136">RANK(AW32,$AW$31:$AW$34,1)*1000+RANK(AY32,$AY$31:$AY$34,1)+RANK(AZ32,$AZ$31:$AZ$34,1)*100+RANK(BA32,$BA$31:$BA$34,1)*10+RANK(BC32,$BC$31:$BC$34,0)*0.01</f>
        <v>1111.01</v>
      </c>
      <c r="BE32" s="23">
        <f t="shared" ref="BE32:BE34" si="137">COUNTIF($AW$31:$AW$34,AW32)</f>
        <v>4</v>
      </c>
      <c r="BF32" s="24">
        <f t="shared" ref="BF32:BF34" si="138">IF(BE32=1,0,1)</f>
        <v>1</v>
      </c>
      <c r="BG32" s="23">
        <f>SUMIF($AA$6:$AB$41,AT32,$AQ$6:$AR$41)</f>
        <v>0</v>
      </c>
      <c r="BH32" s="23">
        <f t="shared" ref="BH32:BH34" si="139">BI32-BJ32</f>
        <v>0</v>
      </c>
      <c r="BI32" s="23">
        <f>SUMIFS($K$6:$L$41,$AA$6:$AB$41,AT32,$AN$6:$AO$41,"&gt;0")</f>
        <v>0</v>
      </c>
      <c r="BJ32" s="23">
        <f>SUMIFS($L$6:$M$41,$AA$6:$AB$41,AT32,$AN$6:$AO$41,"&gt;0")</f>
        <v>0</v>
      </c>
      <c r="BK32" s="25">
        <f t="shared" ref="BK32:BK34" si="140">RANK(BG32,$BG$31:$BG$34,1)*10+RANK(BH32,$BH$31:$BH$34,1)+RANK(BI32,$BI$31:$BI$34,1)*0.1</f>
        <v>11.1</v>
      </c>
      <c r="BL32" s="22" t="str">
        <f>IF(VLOOKUP(R32,$AT$31:$BJ$34,5,FALSE)&gt;0,VLOOKUP(R32,$AT$31:$BJ$34,14,FALSE),"")</f>
        <v/>
      </c>
      <c r="BM32" s="22" t="str">
        <f>IF(VLOOKUP(R32,$AT$31:$BJ$34,5,FALSE)&gt;0,VLOOKUP(R32,$AT$31:$BJ$34,16,FALSE),"")</f>
        <v/>
      </c>
      <c r="BN32" s="22" t="str">
        <f>IF(VLOOKUP(R32,$AT$31:$BJ$34,5,FALSE)&gt;0,VLOOKUP(R32,$AT$31:$BJ$34,17,FALSE),"")</f>
        <v/>
      </c>
      <c r="BO32" s="22" t="str">
        <f t="shared" ref="BO32:BO34" si="141">IF(BL32&lt;&gt;"",BM32-BN32,"")</f>
        <v/>
      </c>
      <c r="BP32" s="116"/>
    </row>
    <row r="33" spans="2:68" ht="15" customHeight="1">
      <c r="B33" s="38">
        <v>26</v>
      </c>
      <c r="C33" s="35">
        <v>43273.791666666664</v>
      </c>
      <c r="D33" s="38" t="s">
        <v>213</v>
      </c>
      <c r="E33" s="38" t="s">
        <v>215</v>
      </c>
      <c r="F33" s="119"/>
      <c r="G33" s="74">
        <f>C33+TimesInd/24</f>
        <v>43273.9375</v>
      </c>
      <c r="H33" s="75" t="str">
        <f t="shared" si="28"/>
        <v>Fri</v>
      </c>
      <c r="I33" s="76" t="str">
        <f t="shared" si="14"/>
        <v>Serbia</v>
      </c>
      <c r="J33" s="76" t="str">
        <f t="shared" si="15"/>
        <v>Switzerland</v>
      </c>
      <c r="K33" s="132"/>
      <c r="L33" s="133"/>
      <c r="M33" s="83">
        <f t="shared" si="16"/>
        <v>0</v>
      </c>
      <c r="N33" s="222"/>
      <c r="O33" s="223"/>
      <c r="P33" s="107" t="s">
        <v>212</v>
      </c>
      <c r="Q33" s="49">
        <v>3</v>
      </c>
      <c r="R33" s="50" t="str">
        <f>VLOOKUP(Q33,$AS$31:$AZ$34,2,FALSE)</f>
        <v>Costa Rica</v>
      </c>
      <c r="S33" s="49">
        <f>VLOOKUP(R33,$AT$31:$BB$34,3,FALSE)</f>
        <v>0</v>
      </c>
      <c r="T33" s="49">
        <f>VLOOKUP(R33,$AT$31:$BB$34,4,FALSE)</f>
        <v>0</v>
      </c>
      <c r="U33" s="49">
        <f>VLOOKUP(R33,$AT$31:$BB$34,8,FALSE)</f>
        <v>0</v>
      </c>
      <c r="V33" s="49">
        <f>VLOOKUP(R33,$AT$31:$BB$34,9,FALSE)</f>
        <v>0</v>
      </c>
      <c r="W33" s="49">
        <f t="shared" si="132"/>
        <v>0</v>
      </c>
      <c r="X33" s="49">
        <f>VLOOKUP(R33,$AT$31:$BC$34,10,FALSE)</f>
        <v>31</v>
      </c>
      <c r="Y33" s="130"/>
      <c r="Z33" s="176">
        <f>VLOOKUP(R33,$AT$31:$BE$34,12,FALSE)</f>
        <v>4</v>
      </c>
      <c r="AA33" s="177" t="str">
        <f t="shared" si="17"/>
        <v/>
      </c>
      <c r="AB33" s="177" t="str">
        <f t="shared" si="18"/>
        <v/>
      </c>
      <c r="AC33" s="177">
        <f t="shared" si="19"/>
        <v>0</v>
      </c>
      <c r="AD33" s="177">
        <f t="shared" si="20"/>
        <v>0</v>
      </c>
      <c r="AE33" s="177" t="e">
        <f t="shared" si="122"/>
        <v>#N/A</v>
      </c>
      <c r="AF33" s="177" t="e">
        <f t="shared" si="122"/>
        <v>#N/A</v>
      </c>
      <c r="AG33" s="177" t="e">
        <f t="shared" si="29"/>
        <v>#N/A</v>
      </c>
      <c r="AH33" s="177" t="e">
        <f t="shared" si="123"/>
        <v>#N/A</v>
      </c>
      <c r="AI33" s="177" t="e">
        <f t="shared" si="123"/>
        <v>#N/A</v>
      </c>
      <c r="AJ33" s="177" t="e">
        <f t="shared" si="124"/>
        <v>#N/A</v>
      </c>
      <c r="AK33" s="177" t="e">
        <f t="shared" si="125"/>
        <v>#N/A</v>
      </c>
      <c r="AL33" s="177" t="e">
        <f t="shared" si="125"/>
        <v>#N/A</v>
      </c>
      <c r="AM33" s="177" t="e">
        <f t="shared" si="126"/>
        <v>#N/A</v>
      </c>
      <c r="AN33" s="177" t="e">
        <f t="shared" si="127"/>
        <v>#N/A</v>
      </c>
      <c r="AO33" s="177" t="e">
        <f t="shared" si="128"/>
        <v>#N/A</v>
      </c>
      <c r="AP33" s="177" t="e">
        <f t="shared" si="129"/>
        <v>#N/A</v>
      </c>
      <c r="AQ33" s="177" t="e">
        <f t="shared" si="130"/>
        <v>#N/A</v>
      </c>
      <c r="AR33" s="177" t="e">
        <f t="shared" si="131"/>
        <v>#N/A</v>
      </c>
      <c r="AS33" s="173">
        <f t="shared" si="133"/>
        <v>3</v>
      </c>
      <c r="AT33" s="173" t="str">
        <f>VLOOKUP("e3",TeamTbl,2,FALSE)</f>
        <v>Costa Rica</v>
      </c>
      <c r="AU33" s="23" t="s">
        <v>165</v>
      </c>
      <c r="AV33" s="24">
        <f>COUNTIF(AA$4:AB$53,AT33)</f>
        <v>0</v>
      </c>
      <c r="AW33" s="23">
        <f>SUMIF($AA$6:$AB$41,AT33,$AC$6:$AD$41)</f>
        <v>0</v>
      </c>
      <c r="AX33" s="23">
        <f t="shared" si="34"/>
        <v>0</v>
      </c>
      <c r="AY33" s="25">
        <f t="shared" si="134"/>
        <v>11.1</v>
      </c>
      <c r="AZ33" s="23">
        <f t="shared" si="135"/>
        <v>0</v>
      </c>
      <c r="BA33" s="23">
        <f>SUMIF(I$6:J$41,AT33,K$6:L$41)</f>
        <v>0</v>
      </c>
      <c r="BB33" s="23">
        <f>SUMIF(I$6:J$41,AT33,L$6:M$41)</f>
        <v>0</v>
      </c>
      <c r="BC33" s="23">
        <f>VLOOKUP(AT33,Tbl,4,FALSE)</f>
        <v>31</v>
      </c>
      <c r="BD33" s="26">
        <f t="shared" si="136"/>
        <v>1111.02</v>
      </c>
      <c r="BE33" s="23">
        <f t="shared" si="137"/>
        <v>4</v>
      </c>
      <c r="BF33" s="24">
        <f t="shared" si="138"/>
        <v>1</v>
      </c>
      <c r="BG33" s="23">
        <f>SUMIF($AA$6:$AB$41,AT33,$AQ$6:$AR$41)</f>
        <v>0</v>
      </c>
      <c r="BH33" s="23">
        <f t="shared" si="139"/>
        <v>0</v>
      </c>
      <c r="BI33" s="23">
        <f>SUMIFS($K$6:$L$41,$AA$6:$AB$41,AT33,$AN$6:$AO$41,"&gt;0")</f>
        <v>0</v>
      </c>
      <c r="BJ33" s="23">
        <f>SUMIFS($L$6:$M$41,$AA$6:$AB$41,AT33,$AN$6:$AO$41,"&gt;0")</f>
        <v>0</v>
      </c>
      <c r="BK33" s="25">
        <f t="shared" si="140"/>
        <v>11.1</v>
      </c>
      <c r="BL33" s="22" t="str">
        <f>IF(VLOOKUP(R33,$AT$31:$BJ$34,5,FALSE)&gt;0,VLOOKUP(R33,$AT$31:$BJ$34,14,FALSE),"")</f>
        <v/>
      </c>
      <c r="BM33" s="22" t="str">
        <f>IF(VLOOKUP(R33,$AT$31:$BJ$34,5,FALSE)&gt;0,VLOOKUP(R33,$AT$31:$BJ$34,16,FALSE),"")</f>
        <v/>
      </c>
      <c r="BN33" s="22" t="str">
        <f>IF(VLOOKUP(R33,$AT$31:$BJ$34,5,FALSE)&gt;0,VLOOKUP(R33,$AT$31:$BJ$34,17,FALSE),"")</f>
        <v/>
      </c>
      <c r="BO33" s="22" t="str">
        <f t="shared" si="141"/>
        <v/>
      </c>
      <c r="BP33" s="116"/>
    </row>
    <row r="34" spans="2:68" ht="15" customHeight="1">
      <c r="B34" s="38">
        <v>41</v>
      </c>
      <c r="C34" s="35">
        <v>43278.791666666664</v>
      </c>
      <c r="D34" s="38" t="s">
        <v>213</v>
      </c>
      <c r="E34" s="38" t="s">
        <v>214</v>
      </c>
      <c r="F34" s="119"/>
      <c r="G34" s="74">
        <f>C34+TimesInd/24</f>
        <v>43278.9375</v>
      </c>
      <c r="H34" s="75" t="str">
        <f t="shared" si="28"/>
        <v>Wed</v>
      </c>
      <c r="I34" s="76" t="str">
        <f t="shared" si="14"/>
        <v>Serbia</v>
      </c>
      <c r="J34" s="76" t="str">
        <f t="shared" si="15"/>
        <v>Brazil</v>
      </c>
      <c r="K34" s="132"/>
      <c r="L34" s="133"/>
      <c r="M34" s="83">
        <f t="shared" si="16"/>
        <v>0</v>
      </c>
      <c r="N34" s="222"/>
      <c r="O34" s="223"/>
      <c r="P34" s="107" t="s">
        <v>213</v>
      </c>
      <c r="Q34" s="49">
        <v>4</v>
      </c>
      <c r="R34" s="50" t="str">
        <f>VLOOKUP(Q34,$AS$31:$AZ$34,2,FALSE)</f>
        <v>Switzerland</v>
      </c>
      <c r="S34" s="49">
        <f>VLOOKUP(R34,$AT$31:$BB$34,3,FALSE)</f>
        <v>0</v>
      </c>
      <c r="T34" s="49">
        <f>VLOOKUP(R34,$AT$31:$BB$34,4,FALSE)</f>
        <v>0</v>
      </c>
      <c r="U34" s="49">
        <f>VLOOKUP(R34,$AT$31:$BB$34,8,FALSE)</f>
        <v>0</v>
      </c>
      <c r="V34" s="49">
        <f>VLOOKUP(R34,$AT$31:$BB$34,9,FALSE)</f>
        <v>0</v>
      </c>
      <c r="W34" s="49">
        <f t="shared" si="132"/>
        <v>0</v>
      </c>
      <c r="X34" s="49">
        <f>VLOOKUP(R34,$AT$31:$BC$34,10,FALSE)</f>
        <v>100</v>
      </c>
      <c r="Y34" s="130"/>
      <c r="Z34" s="176">
        <f>VLOOKUP(R34,$AT$31:$BE$34,12,FALSE)</f>
        <v>4</v>
      </c>
      <c r="AA34" s="177" t="str">
        <f t="shared" si="17"/>
        <v/>
      </c>
      <c r="AB34" s="177" t="str">
        <f t="shared" si="18"/>
        <v/>
      </c>
      <c r="AC34" s="177">
        <f t="shared" si="19"/>
        <v>0</v>
      </c>
      <c r="AD34" s="177">
        <f t="shared" si="20"/>
        <v>0</v>
      </c>
      <c r="AE34" s="177" t="e">
        <f t="shared" si="122"/>
        <v>#N/A</v>
      </c>
      <c r="AF34" s="177" t="e">
        <f t="shared" si="122"/>
        <v>#N/A</v>
      </c>
      <c r="AG34" s="177" t="e">
        <f t="shared" si="29"/>
        <v>#N/A</v>
      </c>
      <c r="AH34" s="177" t="e">
        <f t="shared" si="123"/>
        <v>#N/A</v>
      </c>
      <c r="AI34" s="177" t="e">
        <f t="shared" si="123"/>
        <v>#N/A</v>
      </c>
      <c r="AJ34" s="177" t="e">
        <f t="shared" si="124"/>
        <v>#N/A</v>
      </c>
      <c r="AK34" s="177" t="e">
        <f t="shared" si="125"/>
        <v>#N/A</v>
      </c>
      <c r="AL34" s="177" t="e">
        <f t="shared" si="125"/>
        <v>#N/A</v>
      </c>
      <c r="AM34" s="177" t="e">
        <f t="shared" si="126"/>
        <v>#N/A</v>
      </c>
      <c r="AN34" s="177" t="e">
        <f t="shared" si="127"/>
        <v>#N/A</v>
      </c>
      <c r="AO34" s="177" t="e">
        <f t="shared" si="128"/>
        <v>#N/A</v>
      </c>
      <c r="AP34" s="177" t="e">
        <f t="shared" si="129"/>
        <v>#N/A</v>
      </c>
      <c r="AQ34" s="177" t="e">
        <f t="shared" si="130"/>
        <v>#N/A</v>
      </c>
      <c r="AR34" s="177" t="e">
        <f t="shared" si="131"/>
        <v>#N/A</v>
      </c>
      <c r="AS34" s="173">
        <f t="shared" si="133"/>
        <v>2</v>
      </c>
      <c r="AT34" s="173" t="str">
        <f>VLOOKUP("e4",TeamTbl,2,FALSE)</f>
        <v>Serbia</v>
      </c>
      <c r="AU34" s="23" t="s">
        <v>165</v>
      </c>
      <c r="AV34" s="24">
        <f>COUNTIF(AA$4:AB$53,AT34)</f>
        <v>0</v>
      </c>
      <c r="AW34" s="23">
        <f>SUMIF($AA$6:$AB$41,AT34,$AC$6:$AD$41)</f>
        <v>0</v>
      </c>
      <c r="AX34" s="23">
        <f t="shared" si="34"/>
        <v>0</v>
      </c>
      <c r="AY34" s="25">
        <f t="shared" si="134"/>
        <v>11.1</v>
      </c>
      <c r="AZ34" s="23">
        <f t="shared" si="135"/>
        <v>0</v>
      </c>
      <c r="BA34" s="23">
        <f>SUMIF(I$6:J$41,AT34,K$6:L$41)</f>
        <v>0</v>
      </c>
      <c r="BB34" s="23">
        <f>SUMIF(I$6:J$41,AT34,L$6:M$41)</f>
        <v>0</v>
      </c>
      <c r="BC34" s="23">
        <f>VLOOKUP(AT34,Tbl,4,FALSE)</f>
        <v>14</v>
      </c>
      <c r="BD34" s="26">
        <f t="shared" si="136"/>
        <v>1111.03</v>
      </c>
      <c r="BE34" s="23">
        <f t="shared" si="137"/>
        <v>4</v>
      </c>
      <c r="BF34" s="24">
        <f t="shared" si="138"/>
        <v>1</v>
      </c>
      <c r="BG34" s="23">
        <f>SUMIF($AA$6:$AB$41,AT34,$AQ$6:$AR$41)</f>
        <v>0</v>
      </c>
      <c r="BH34" s="23">
        <f t="shared" si="139"/>
        <v>0</v>
      </c>
      <c r="BI34" s="23">
        <f>SUMIFS($K$6:$L$41,$AA$6:$AB$41,AT34,$AN$6:$AO$41,"&gt;0")</f>
        <v>0</v>
      </c>
      <c r="BJ34" s="23">
        <f>SUMIFS($L$6:$M$41,$AA$6:$AB$41,AT34,$AN$6:$AO$41,"&gt;0")</f>
        <v>0</v>
      </c>
      <c r="BK34" s="25">
        <f t="shared" si="140"/>
        <v>11.1</v>
      </c>
      <c r="BL34" s="22" t="str">
        <f>IF(VLOOKUP(R34,$AT$31:$BJ$34,5,FALSE)&gt;0,VLOOKUP(R34,$AT$31:$BJ$34,14,FALSE),"")</f>
        <v/>
      </c>
      <c r="BM34" s="22" t="str">
        <f>IF(VLOOKUP(R34,$AT$31:$BJ$34,5,FALSE)&gt;0,VLOOKUP(R34,$AT$31:$BJ$34,16,FALSE),"")</f>
        <v/>
      </c>
      <c r="BN34" s="22" t="str">
        <f>IF(VLOOKUP(R34,$AT$31:$BJ$34,5,FALSE)&gt;0,VLOOKUP(R34,$AT$31:$BJ$34,17,FALSE),"")</f>
        <v/>
      </c>
      <c r="BO34" s="22" t="str">
        <f t="shared" si="141"/>
        <v/>
      </c>
      <c r="BP34" s="116"/>
    </row>
    <row r="35" spans="2:68" ht="15" customHeight="1" thickBot="1">
      <c r="B35" s="38">
        <v>42</v>
      </c>
      <c r="C35" s="35">
        <v>43278.791666666664</v>
      </c>
      <c r="D35" s="38" t="s">
        <v>215</v>
      </c>
      <c r="E35" s="38" t="s">
        <v>212</v>
      </c>
      <c r="F35" s="158"/>
      <c r="G35" s="159">
        <f>C35+TimesInd/24</f>
        <v>43278.9375</v>
      </c>
      <c r="H35" s="148" t="str">
        <f t="shared" si="28"/>
        <v>Wed</v>
      </c>
      <c r="I35" s="149" t="str">
        <f t="shared" si="14"/>
        <v>Switzerland</v>
      </c>
      <c r="J35" s="149" t="str">
        <f t="shared" si="15"/>
        <v>Costa Rica</v>
      </c>
      <c r="K35" s="150"/>
      <c r="L35" s="151"/>
      <c r="M35" s="152">
        <f t="shared" si="16"/>
        <v>0</v>
      </c>
      <c r="N35" s="224"/>
      <c r="O35" s="225"/>
      <c r="P35" s="153"/>
      <c r="Q35" s="154"/>
      <c r="R35" s="155"/>
      <c r="S35" s="154"/>
      <c r="T35" s="154"/>
      <c r="U35" s="154"/>
      <c r="V35" s="154"/>
      <c r="W35" s="154"/>
      <c r="X35" s="154"/>
      <c r="Y35" s="154"/>
      <c r="Z35" s="178"/>
      <c r="AA35" s="179" t="str">
        <f t="shared" si="17"/>
        <v/>
      </c>
      <c r="AB35" s="179" t="str">
        <f t="shared" si="18"/>
        <v/>
      </c>
      <c r="AC35" s="179">
        <f t="shared" si="19"/>
        <v>0</v>
      </c>
      <c r="AD35" s="179">
        <f t="shared" si="20"/>
        <v>0</v>
      </c>
      <c r="AE35" s="179" t="e">
        <f t="shared" si="122"/>
        <v>#N/A</v>
      </c>
      <c r="AF35" s="179" t="e">
        <f t="shared" si="122"/>
        <v>#N/A</v>
      </c>
      <c r="AG35" s="179" t="e">
        <f t="shared" si="29"/>
        <v>#N/A</v>
      </c>
      <c r="AH35" s="179" t="e">
        <f t="shared" si="123"/>
        <v>#N/A</v>
      </c>
      <c r="AI35" s="179" t="e">
        <f t="shared" si="123"/>
        <v>#N/A</v>
      </c>
      <c r="AJ35" s="179" t="e">
        <f t="shared" ref="AJ35:AJ36" si="142">IF(SUM(AH35:AI35)=2,1,0)</f>
        <v>#N/A</v>
      </c>
      <c r="AK35" s="179" t="e">
        <f t="shared" si="125"/>
        <v>#N/A</v>
      </c>
      <c r="AL35" s="179" t="e">
        <f t="shared" si="125"/>
        <v>#N/A</v>
      </c>
      <c r="AM35" s="179" t="e">
        <f t="shared" ref="AM35:AM36" si="143">IF(SUM(AK35:AL35)=2,1,0)</f>
        <v>#N/A</v>
      </c>
      <c r="AN35" s="179" t="e">
        <f t="shared" si="127"/>
        <v>#N/A</v>
      </c>
      <c r="AO35" s="179" t="e">
        <f t="shared" si="128"/>
        <v>#N/A</v>
      </c>
      <c r="AP35" s="179" t="e">
        <f t="shared" ref="AP35:AP36" si="144">AN35</f>
        <v>#N/A</v>
      </c>
      <c r="AQ35" s="179" t="e">
        <f t="shared" si="130"/>
        <v>#N/A</v>
      </c>
      <c r="AR35" s="179" t="e">
        <f t="shared" si="131"/>
        <v>#N/A</v>
      </c>
      <c r="AS35" s="211"/>
      <c r="AT35" s="212"/>
      <c r="AU35" s="212"/>
      <c r="AV35" s="212"/>
      <c r="AW35" s="212"/>
      <c r="AX35" s="212"/>
      <c r="AY35" s="212"/>
      <c r="AZ35" s="212"/>
      <c r="BA35" s="212"/>
      <c r="BB35" s="212"/>
      <c r="BC35" s="212"/>
      <c r="BD35" s="213"/>
      <c r="BE35" s="113">
        <f>SUM(BE31:BE34)</f>
        <v>16</v>
      </c>
      <c r="BF35" s="114">
        <f>MIN(AW31:AW34)</f>
        <v>0</v>
      </c>
      <c r="BG35" s="114">
        <f>MAX(AW31:AW34)</f>
        <v>0</v>
      </c>
      <c r="BH35" s="211"/>
      <c r="BI35" s="212"/>
      <c r="BJ35" s="212"/>
      <c r="BK35" s="212"/>
      <c r="BL35" s="125"/>
      <c r="BM35" s="125"/>
      <c r="BN35" s="125"/>
      <c r="BO35" s="125"/>
      <c r="BP35" s="156"/>
    </row>
    <row r="36" spans="2:68" ht="15" customHeight="1" thickBot="1">
      <c r="B36" s="38">
        <v>11</v>
      </c>
      <c r="C36" s="35">
        <v>43268.666666666664</v>
      </c>
      <c r="D36" s="38" t="s">
        <v>216</v>
      </c>
      <c r="E36" s="38" t="s">
        <v>217</v>
      </c>
      <c r="F36" s="117"/>
      <c r="G36" s="157">
        <f>C36+TimesInd/24</f>
        <v>43268.8125</v>
      </c>
      <c r="H36" s="136" t="str">
        <f t="shared" si="28"/>
        <v>Sun</v>
      </c>
      <c r="I36" s="137" t="str">
        <f t="shared" si="14"/>
        <v>Germany</v>
      </c>
      <c r="J36" s="137" t="str">
        <f t="shared" si="15"/>
        <v>Mexico</v>
      </c>
      <c r="K36" s="138"/>
      <c r="L36" s="139"/>
      <c r="M36" s="140">
        <f t="shared" si="16"/>
        <v>0</v>
      </c>
      <c r="N36" s="220" t="s">
        <v>166</v>
      </c>
      <c r="O36" s="221"/>
      <c r="P36" s="141"/>
      <c r="Q36" s="142"/>
      <c r="R36" s="143"/>
      <c r="S36" s="142"/>
      <c r="T36" s="142"/>
      <c r="U36" s="142"/>
      <c r="V36" s="142"/>
      <c r="W36" s="142"/>
      <c r="X36" s="142"/>
      <c r="Y36" s="142"/>
      <c r="Z36" s="174"/>
      <c r="AA36" s="175" t="str">
        <f t="shared" si="17"/>
        <v/>
      </c>
      <c r="AB36" s="175" t="str">
        <f t="shared" si="18"/>
        <v/>
      </c>
      <c r="AC36" s="175">
        <f t="shared" si="19"/>
        <v>0</v>
      </c>
      <c r="AD36" s="175">
        <f t="shared" si="20"/>
        <v>0</v>
      </c>
      <c r="AE36" s="175" t="e">
        <f t="shared" ref="AE36:AF41" si="145">VLOOKUP(AA36,$AT$36:$BF$40,13,FALSE)</f>
        <v>#N/A</v>
      </c>
      <c r="AF36" s="175" t="e">
        <f t="shared" si="145"/>
        <v>#N/A</v>
      </c>
      <c r="AG36" s="175" t="e">
        <f t="shared" si="29"/>
        <v>#N/A</v>
      </c>
      <c r="AH36" s="175" t="e">
        <f t="shared" ref="AH36:AI41" si="146">IF(VLOOKUP(AA36,$AT$37:$BE$40,4,FALSE)=$BF$41,1,0)</f>
        <v>#N/A</v>
      </c>
      <c r="AI36" s="175" t="e">
        <f t="shared" si="146"/>
        <v>#N/A</v>
      </c>
      <c r="AJ36" s="175" t="e">
        <f t="shared" si="142"/>
        <v>#N/A</v>
      </c>
      <c r="AK36" s="175" t="e">
        <f t="shared" ref="AK36:AL41" si="147">IF(VLOOKUP(AA36,$AT$37:$BE$40,4,FALSE)=$BG$41,1,0)</f>
        <v>#N/A</v>
      </c>
      <c r="AL36" s="175" t="e">
        <f t="shared" si="147"/>
        <v>#N/A</v>
      </c>
      <c r="AM36" s="175" t="e">
        <f t="shared" si="143"/>
        <v>#N/A</v>
      </c>
      <c r="AN36" s="175" t="e">
        <f t="shared" ref="AN36:AN53" si="148">IF(IndF=8,K36*AJ36+K36*AM36,AG36)</f>
        <v>#N/A</v>
      </c>
      <c r="AO36" s="175" t="e">
        <f t="shared" ref="AO36:AO53" si="149">IF(IndF=8,L36*AJ36+L36*AM36,AG36)</f>
        <v>#N/A</v>
      </c>
      <c r="AP36" s="175" t="e">
        <f t="shared" si="144"/>
        <v>#N/A</v>
      </c>
      <c r="AQ36" s="175" t="e">
        <f t="shared" ref="AQ36:AQ40" si="150">IF(IndF=8,AC36*AJ36+AC36*AM36,AG36)</f>
        <v>#N/A</v>
      </c>
      <c r="AR36" s="175" t="e">
        <f t="shared" ref="AR36:AR40" si="151">IF(IndF=8,AD36*AJ36+AD36*AM36,AG36)</f>
        <v>#N/A</v>
      </c>
      <c r="AS36" s="216" t="s">
        <v>159</v>
      </c>
      <c r="AT36" s="217" t="s">
        <v>3</v>
      </c>
      <c r="AU36" s="217" t="s">
        <v>172</v>
      </c>
      <c r="AV36" s="217" t="s">
        <v>86</v>
      </c>
      <c r="AW36" s="217" t="s">
        <v>5</v>
      </c>
      <c r="AX36" s="217" t="s">
        <v>187</v>
      </c>
      <c r="AY36" s="217" t="s">
        <v>180</v>
      </c>
      <c r="AZ36" s="217" t="s">
        <v>2</v>
      </c>
      <c r="BA36" s="217" t="s">
        <v>0</v>
      </c>
      <c r="BB36" s="217" t="s">
        <v>1</v>
      </c>
      <c r="BC36" s="217" t="s">
        <v>78</v>
      </c>
      <c r="BD36" s="218" t="s">
        <v>87</v>
      </c>
      <c r="BE36" s="144" t="s">
        <v>185</v>
      </c>
      <c r="BF36" s="145" t="s">
        <v>186</v>
      </c>
      <c r="BG36" s="145" t="s">
        <v>5</v>
      </c>
      <c r="BH36" s="216" t="s">
        <v>179</v>
      </c>
      <c r="BI36" s="217" t="s">
        <v>0</v>
      </c>
      <c r="BJ36" s="217" t="s">
        <v>1</v>
      </c>
      <c r="BK36" s="217" t="s">
        <v>184</v>
      </c>
      <c r="BL36" s="146"/>
      <c r="BM36" s="146"/>
      <c r="BN36" s="146"/>
      <c r="BO36" s="146"/>
      <c r="BP36" s="147"/>
    </row>
    <row r="37" spans="2:68" ht="15" customHeight="1">
      <c r="B37" s="38">
        <v>12</v>
      </c>
      <c r="C37" s="35">
        <v>43269.541666666664</v>
      </c>
      <c r="D37" s="38" t="s">
        <v>218</v>
      </c>
      <c r="E37" s="38" t="s">
        <v>219</v>
      </c>
      <c r="F37" s="119"/>
      <c r="G37" s="74">
        <f>C37+TimesInd/24</f>
        <v>43269.6875</v>
      </c>
      <c r="H37" s="75" t="str">
        <f t="shared" si="28"/>
        <v>Mon</v>
      </c>
      <c r="I37" s="76" t="str">
        <f t="shared" si="14"/>
        <v>Sweden</v>
      </c>
      <c r="J37" s="76" t="str">
        <f t="shared" si="15"/>
        <v>Korea Republic</v>
      </c>
      <c r="K37" s="132"/>
      <c r="L37" s="133"/>
      <c r="M37" s="83">
        <f t="shared" si="16"/>
        <v>0</v>
      </c>
      <c r="N37" s="222"/>
      <c r="O37" s="223"/>
      <c r="P37" s="107" t="s">
        <v>216</v>
      </c>
      <c r="Q37" s="53">
        <v>1</v>
      </c>
      <c r="R37" s="54" t="str">
        <f>VLOOKUP(Q37,$AS$37:$AZ$40,2,FALSE)</f>
        <v>Germany</v>
      </c>
      <c r="S37" s="53">
        <f>VLOOKUP(R37,$AT$37:$BB$40,3,FALSE)</f>
        <v>0</v>
      </c>
      <c r="T37" s="53">
        <f>VLOOKUP(R37,$AT$37:$BB$40,4,FALSE)</f>
        <v>0</v>
      </c>
      <c r="U37" s="53">
        <f>VLOOKUP(R37,$AT$37:$BB$40,8,FALSE)</f>
        <v>0</v>
      </c>
      <c r="V37" s="53">
        <f>VLOOKUP(R37,$AT$37:$BB$40,9,FALSE)</f>
        <v>0</v>
      </c>
      <c r="W37" s="53">
        <f>U37-V37</f>
        <v>0</v>
      </c>
      <c r="X37" s="53">
        <f>VLOOKUP(R37,$AT$37:$BC$40,10,FALSE)</f>
        <v>24</v>
      </c>
      <c r="Y37" s="130"/>
      <c r="Z37" s="176">
        <f>VLOOKUP(R37,$AT$37:$BE$40,12,FALSE)</f>
        <v>4</v>
      </c>
      <c r="AA37" s="177" t="str">
        <f t="shared" si="17"/>
        <v/>
      </c>
      <c r="AB37" s="177" t="str">
        <f t="shared" si="18"/>
        <v/>
      </c>
      <c r="AC37" s="177">
        <f t="shared" si="19"/>
        <v>0</v>
      </c>
      <c r="AD37" s="177">
        <f t="shared" si="20"/>
        <v>0</v>
      </c>
      <c r="AE37" s="177" t="e">
        <f t="shared" si="145"/>
        <v>#N/A</v>
      </c>
      <c r="AF37" s="177" t="e">
        <f t="shared" si="145"/>
        <v>#N/A</v>
      </c>
      <c r="AG37" s="177" t="e">
        <f t="shared" si="29"/>
        <v>#N/A</v>
      </c>
      <c r="AH37" s="177" t="e">
        <f t="shared" si="146"/>
        <v>#N/A</v>
      </c>
      <c r="AI37" s="177" t="e">
        <f t="shared" si="146"/>
        <v>#N/A</v>
      </c>
      <c r="AJ37" s="177" t="e">
        <f t="shared" ref="AJ37:AJ40" si="152">IF(SUM(AH37:AI37)=2,1,0)</f>
        <v>#N/A</v>
      </c>
      <c r="AK37" s="177" t="e">
        <f t="shared" si="147"/>
        <v>#N/A</v>
      </c>
      <c r="AL37" s="177" t="e">
        <f t="shared" si="147"/>
        <v>#N/A</v>
      </c>
      <c r="AM37" s="177" t="e">
        <f t="shared" ref="AM37:AM40" si="153">IF(SUM(AK37:AL37)=2,1,0)</f>
        <v>#N/A</v>
      </c>
      <c r="AN37" s="177" t="e">
        <f t="shared" si="148"/>
        <v>#N/A</v>
      </c>
      <c r="AO37" s="177" t="e">
        <f t="shared" si="149"/>
        <v>#N/A</v>
      </c>
      <c r="AP37" s="177" t="e">
        <f t="shared" ref="AP37:AP40" si="154">AN37</f>
        <v>#N/A</v>
      </c>
      <c r="AQ37" s="177" t="e">
        <f t="shared" si="150"/>
        <v>#N/A</v>
      </c>
      <c r="AR37" s="177" t="e">
        <f t="shared" si="151"/>
        <v>#N/A</v>
      </c>
      <c r="AS37" s="173">
        <f>RANK(BD37,$BD$37:$BD$40)</f>
        <v>1</v>
      </c>
      <c r="AT37" s="173" t="str">
        <f>VLOOKUP("f1",TeamTbl,2,FALSE)</f>
        <v>Germany</v>
      </c>
      <c r="AU37" s="23" t="s">
        <v>166</v>
      </c>
      <c r="AV37" s="24">
        <f>COUNTIF(AA$4:AB$41,AT37)</f>
        <v>0</v>
      </c>
      <c r="AW37" s="23">
        <f>SUMIF($AA$6:$AB$41,AT37,$AC$6:$AD$41)</f>
        <v>0</v>
      </c>
      <c r="AX37" s="23">
        <f t="shared" si="34"/>
        <v>0</v>
      </c>
      <c r="AY37" s="25">
        <f>BK37</f>
        <v>11.1</v>
      </c>
      <c r="AZ37" s="23">
        <f>BA37-BB37</f>
        <v>0</v>
      </c>
      <c r="BA37" s="23">
        <f>SUMIF(I$6:J$41,AT37,K$6:L$41)</f>
        <v>0</v>
      </c>
      <c r="BB37" s="23">
        <f>SUMIF(I$6:J$41,AT37,L$6:M$41)</f>
        <v>0</v>
      </c>
      <c r="BC37" s="23">
        <f>VLOOKUP(AT37,Tbl,4,FALSE)</f>
        <v>24</v>
      </c>
      <c r="BD37" s="26">
        <f>RANK(AW37,$AW$37:$AW$40,1)*1000+RANK(AY37,$AY$37:$AY$40,1)+RANK(AZ37,$AZ$37:$AZ$40,1)*100+RANK(BA37,$BA$37:$BA$40,1)*10+RANK(BC37,$BC$37:$BC$40,0)*0.01</f>
        <v>1111.04</v>
      </c>
      <c r="BE37" s="23">
        <f>COUNTIF($AW$37:$AW$40,AW37)</f>
        <v>4</v>
      </c>
      <c r="BF37" s="24">
        <f>IF(BE37=1,0,1)</f>
        <v>1</v>
      </c>
      <c r="BG37" s="23">
        <f>SUMIF($AA$6:$AB$41,AT37,$AQ$6:$AR$41)</f>
        <v>0</v>
      </c>
      <c r="BH37" s="23">
        <f>BI37-BJ37</f>
        <v>0</v>
      </c>
      <c r="BI37" s="23">
        <f>SUMIFS($K$6:$L$41,$AA$6:$AB$41,AT37,$AN$6:$AO$41,"&gt;0")</f>
        <v>0</v>
      </c>
      <c r="BJ37" s="23">
        <f>SUMIFS($L$6:$M$41,$AA$6:$AB$41,AT37,$AN$6:$AO$41,"&gt;0")</f>
        <v>0</v>
      </c>
      <c r="BK37" s="25">
        <f>RANK(BG37,$BG$37:$BG$40,1)*10+RANK(BH37,$BH$37:$BH$40,1)+RANK(BI37,$BI$37:$BI$40,1)*0.1</f>
        <v>11.1</v>
      </c>
      <c r="BL37" s="22" t="str">
        <f>IF(VLOOKUP(R37,$AT$37:$BJ$40,5,FALSE)&gt;0,VLOOKUP(R37,$AT$37:$BJ$40,14,FALSE),"")</f>
        <v/>
      </c>
      <c r="BM37" s="22" t="str">
        <f>IF(VLOOKUP(R37,$AT$37:$BJ$40,5,FALSE)&gt;0,VLOOKUP(R37,$AT$37:$BJ$40,16,FALSE),"")</f>
        <v/>
      </c>
      <c r="BN37" s="22" t="str">
        <f>IF(VLOOKUP(R37,$AT$37:$BJ$40,5,FALSE)&gt;0,VLOOKUP(R37,$AT$37:$BJ$40,17,FALSE),"")</f>
        <v/>
      </c>
      <c r="BO37" s="22" t="str">
        <f>IF(BL37&lt;&gt;"",BM37-BN37,"")</f>
        <v/>
      </c>
      <c r="BP37" s="116"/>
    </row>
    <row r="38" spans="2:68" ht="15" customHeight="1">
      <c r="B38" s="38">
        <v>27</v>
      </c>
      <c r="C38" s="35">
        <v>43274.666666666664</v>
      </c>
      <c r="D38" s="38" t="s">
        <v>216</v>
      </c>
      <c r="E38" s="38" t="s">
        <v>218</v>
      </c>
      <c r="F38" s="119"/>
      <c r="G38" s="74">
        <f>C38+TimesInd/24</f>
        <v>43274.8125</v>
      </c>
      <c r="H38" s="75" t="str">
        <f t="shared" si="28"/>
        <v>Sat</v>
      </c>
      <c r="I38" s="76" t="str">
        <f t="shared" si="14"/>
        <v>Germany</v>
      </c>
      <c r="J38" s="76" t="str">
        <f t="shared" si="15"/>
        <v>Sweden</v>
      </c>
      <c r="K38" s="132"/>
      <c r="L38" s="133"/>
      <c r="M38" s="83">
        <f t="shared" si="16"/>
        <v>0</v>
      </c>
      <c r="N38" s="222"/>
      <c r="O38" s="223"/>
      <c r="P38" s="107" t="s">
        <v>217</v>
      </c>
      <c r="Q38" s="53">
        <v>2</v>
      </c>
      <c r="R38" s="54" t="str">
        <f>VLOOKUP(Q38,$AS$37:$AZ$40,2,FALSE)</f>
        <v>Mexico</v>
      </c>
      <c r="S38" s="53">
        <f>VLOOKUP(R38,$AT$37:$BB$40,3,FALSE)</f>
        <v>0</v>
      </c>
      <c r="T38" s="53">
        <f>VLOOKUP(R38,$AT$37:$BB$40,4,FALSE)</f>
        <v>0</v>
      </c>
      <c r="U38" s="53">
        <f>VLOOKUP(R38,$AT$37:$BB$40,8,FALSE)</f>
        <v>0</v>
      </c>
      <c r="V38" s="53">
        <f>VLOOKUP(R38,$AT$37:$BB$40,9,FALSE)</f>
        <v>0</v>
      </c>
      <c r="W38" s="53">
        <f t="shared" ref="W38:W40" si="155">U38-V38</f>
        <v>0</v>
      </c>
      <c r="X38" s="53">
        <f>VLOOKUP(R38,$AT$37:$BC$40,10,FALSE)</f>
        <v>39</v>
      </c>
      <c r="Y38" s="130"/>
      <c r="Z38" s="176">
        <f>VLOOKUP(R38,$AT$37:$BE$40,12,FALSE)</f>
        <v>4</v>
      </c>
      <c r="AA38" s="177" t="str">
        <f t="shared" si="17"/>
        <v/>
      </c>
      <c r="AB38" s="177" t="str">
        <f t="shared" si="18"/>
        <v/>
      </c>
      <c r="AC38" s="177">
        <f t="shared" si="19"/>
        <v>0</v>
      </c>
      <c r="AD38" s="177">
        <f t="shared" si="20"/>
        <v>0</v>
      </c>
      <c r="AE38" s="177" t="e">
        <f t="shared" si="145"/>
        <v>#N/A</v>
      </c>
      <c r="AF38" s="177" t="e">
        <f t="shared" si="145"/>
        <v>#N/A</v>
      </c>
      <c r="AG38" s="177" t="e">
        <f t="shared" si="29"/>
        <v>#N/A</v>
      </c>
      <c r="AH38" s="177" t="e">
        <f t="shared" si="146"/>
        <v>#N/A</v>
      </c>
      <c r="AI38" s="177" t="e">
        <f t="shared" si="146"/>
        <v>#N/A</v>
      </c>
      <c r="AJ38" s="177" t="e">
        <f t="shared" si="152"/>
        <v>#N/A</v>
      </c>
      <c r="AK38" s="177" t="e">
        <f t="shared" si="147"/>
        <v>#N/A</v>
      </c>
      <c r="AL38" s="177" t="e">
        <f t="shared" si="147"/>
        <v>#N/A</v>
      </c>
      <c r="AM38" s="177" t="e">
        <f t="shared" si="153"/>
        <v>#N/A</v>
      </c>
      <c r="AN38" s="177" t="e">
        <f t="shared" si="148"/>
        <v>#N/A</v>
      </c>
      <c r="AO38" s="177" t="e">
        <f t="shared" si="149"/>
        <v>#N/A</v>
      </c>
      <c r="AP38" s="177" t="e">
        <f t="shared" si="154"/>
        <v>#N/A</v>
      </c>
      <c r="AQ38" s="177" t="e">
        <f t="shared" si="150"/>
        <v>#N/A</v>
      </c>
      <c r="AR38" s="177" t="e">
        <f t="shared" si="151"/>
        <v>#N/A</v>
      </c>
      <c r="AS38" s="173">
        <f t="shared" ref="AS38:AS40" si="156">RANK(BD38,$BD$37:$BD$40)</f>
        <v>2</v>
      </c>
      <c r="AT38" s="173" t="str">
        <f>VLOOKUP("f2",TeamTbl,2,FALSE)</f>
        <v>Mexico</v>
      </c>
      <c r="AU38" s="23" t="s">
        <v>166</v>
      </c>
      <c r="AV38" s="24">
        <f>COUNTIF(AA$4:AB$41,AT38)</f>
        <v>0</v>
      </c>
      <c r="AW38" s="23">
        <f>SUMIF($AA$6:$AB$41,AT38,$AC$6:$AD$41)</f>
        <v>0</v>
      </c>
      <c r="AX38" s="23">
        <f t="shared" si="34"/>
        <v>0</v>
      </c>
      <c r="AY38" s="25">
        <f t="shared" ref="AY38:AY40" si="157">BK38</f>
        <v>11.1</v>
      </c>
      <c r="AZ38" s="23">
        <f t="shared" ref="AZ38:AZ40" si="158">BA38-BB38</f>
        <v>0</v>
      </c>
      <c r="BA38" s="23">
        <f>SUMIF(I$6:J$41,AT38,K$6:L$41)</f>
        <v>0</v>
      </c>
      <c r="BB38" s="23">
        <f>SUMIF(I$6:J$41,AT38,L$6:M$41)</f>
        <v>0</v>
      </c>
      <c r="BC38" s="23">
        <f>VLOOKUP(AT38,Tbl,4,FALSE)</f>
        <v>39</v>
      </c>
      <c r="BD38" s="26">
        <f t="shared" ref="BD38:BD40" si="159">RANK(AW38,$AW$37:$AW$40,1)*1000+RANK(AY38,$AY$37:$AY$40,1)+RANK(AZ38,$AZ$37:$AZ$40,1)*100+RANK(BA38,$BA$37:$BA$40,1)*10+RANK(BC38,$BC$37:$BC$40,0)*0.01</f>
        <v>1111.03</v>
      </c>
      <c r="BE38" s="23">
        <f t="shared" ref="BE38:BE40" si="160">COUNTIF($AW$37:$AW$40,AW38)</f>
        <v>4</v>
      </c>
      <c r="BF38" s="24">
        <f t="shared" ref="BF38:BF40" si="161">IF(BE38=1,0,1)</f>
        <v>1</v>
      </c>
      <c r="BG38" s="23">
        <f>SUMIF($AA$6:$AB$41,AT38,$AQ$6:$AR$41)</f>
        <v>0</v>
      </c>
      <c r="BH38" s="23">
        <f t="shared" ref="BH38:BH40" si="162">BI38-BJ38</f>
        <v>0</v>
      </c>
      <c r="BI38" s="23">
        <f>SUMIFS($K$6:$L$41,$AA$6:$AB$41,AT38,$AN$6:$AO$41,"&gt;0")</f>
        <v>0</v>
      </c>
      <c r="BJ38" s="23">
        <f>SUMIFS($L$6:$M$41,$AA$6:$AB$41,AT38,$AN$6:$AO$41,"&gt;0")</f>
        <v>0</v>
      </c>
      <c r="BK38" s="25">
        <f t="shared" ref="BK38:BK40" si="163">RANK(BG38,$BG$37:$BG$40,1)*10+RANK(BH38,$BH$37:$BH$40,1)+RANK(BI38,$BI$37:$BI$40,1)*0.1</f>
        <v>11.1</v>
      </c>
      <c r="BL38" s="22" t="str">
        <f>IF(VLOOKUP(R38,$AT$37:$BJ$40,5,FALSE)&gt;0,VLOOKUP(R38,$AT$37:$BJ$40,14,FALSE),"")</f>
        <v/>
      </c>
      <c r="BM38" s="22" t="str">
        <f>IF(VLOOKUP(R38,$AT$37:$BJ$40,5,FALSE)&gt;0,VLOOKUP(R38,$AT$37:$BJ$40,16,FALSE),"")</f>
        <v/>
      </c>
      <c r="BN38" s="22" t="str">
        <f>IF(VLOOKUP(R38,$AT$37:$BJ$40,5,FALSE)&gt;0,VLOOKUP(R38,$AT$37:$BJ$40,17,FALSE),"")</f>
        <v/>
      </c>
      <c r="BO38" s="22" t="str">
        <f t="shared" ref="BO38:BO40" si="164">IF(BL38&lt;&gt;"",BM38-BN38,"")</f>
        <v/>
      </c>
      <c r="BP38" s="116"/>
    </row>
    <row r="39" spans="2:68" ht="15" customHeight="1">
      <c r="B39" s="38">
        <v>28</v>
      </c>
      <c r="C39" s="35">
        <v>43274.791666666664</v>
      </c>
      <c r="D39" s="38" t="s">
        <v>219</v>
      </c>
      <c r="E39" s="38" t="s">
        <v>217</v>
      </c>
      <c r="F39" s="119"/>
      <c r="G39" s="74">
        <f>C39+TimesInd/24</f>
        <v>43274.9375</v>
      </c>
      <c r="H39" s="75" t="str">
        <f t="shared" si="28"/>
        <v>Sat</v>
      </c>
      <c r="I39" s="76" t="str">
        <f t="shared" si="14"/>
        <v>Korea Republic</v>
      </c>
      <c r="J39" s="76" t="str">
        <f t="shared" si="15"/>
        <v>Mexico</v>
      </c>
      <c r="K39" s="132"/>
      <c r="L39" s="133"/>
      <c r="M39" s="83">
        <f t="shared" si="16"/>
        <v>0</v>
      </c>
      <c r="N39" s="222"/>
      <c r="O39" s="223"/>
      <c r="P39" s="107" t="s">
        <v>218</v>
      </c>
      <c r="Q39" s="49">
        <v>3</v>
      </c>
      <c r="R39" s="50" t="str">
        <f>VLOOKUP(Q39,$AS$37:$AZ$40,2,FALSE)</f>
        <v>Sweden</v>
      </c>
      <c r="S39" s="49">
        <f>VLOOKUP(R39,$AT$37:$BB$40,3,FALSE)</f>
        <v>0</v>
      </c>
      <c r="T39" s="49">
        <f>VLOOKUP(R39,$AT$37:$BB$40,4,FALSE)</f>
        <v>0</v>
      </c>
      <c r="U39" s="49">
        <f>VLOOKUP(R39,$AT$37:$BB$40,8,FALSE)</f>
        <v>0</v>
      </c>
      <c r="V39" s="49">
        <f>VLOOKUP(R39,$AT$37:$BB$40,9,FALSE)</f>
        <v>0</v>
      </c>
      <c r="W39" s="49">
        <f t="shared" si="155"/>
        <v>0</v>
      </c>
      <c r="X39" s="49">
        <f>VLOOKUP(R39,$AT$37:$BC$40,10,FALSE)</f>
        <v>46</v>
      </c>
      <c r="Y39" s="130"/>
      <c r="Z39" s="176">
        <f>VLOOKUP(R39,$AT$37:$BE$40,12,FALSE)</f>
        <v>4</v>
      </c>
      <c r="AA39" s="177" t="str">
        <f t="shared" si="17"/>
        <v/>
      </c>
      <c r="AB39" s="177" t="str">
        <f t="shared" si="18"/>
        <v/>
      </c>
      <c r="AC39" s="177">
        <f t="shared" si="19"/>
        <v>0</v>
      </c>
      <c r="AD39" s="177">
        <f t="shared" si="20"/>
        <v>0</v>
      </c>
      <c r="AE39" s="177" t="e">
        <f t="shared" si="145"/>
        <v>#N/A</v>
      </c>
      <c r="AF39" s="177" t="e">
        <f t="shared" si="145"/>
        <v>#N/A</v>
      </c>
      <c r="AG39" s="177" t="e">
        <f t="shared" si="29"/>
        <v>#N/A</v>
      </c>
      <c r="AH39" s="177" t="e">
        <f t="shared" si="146"/>
        <v>#N/A</v>
      </c>
      <c r="AI39" s="177" t="e">
        <f t="shared" si="146"/>
        <v>#N/A</v>
      </c>
      <c r="AJ39" s="177" t="e">
        <f t="shared" si="152"/>
        <v>#N/A</v>
      </c>
      <c r="AK39" s="177" t="e">
        <f t="shared" si="147"/>
        <v>#N/A</v>
      </c>
      <c r="AL39" s="177" t="e">
        <f t="shared" si="147"/>
        <v>#N/A</v>
      </c>
      <c r="AM39" s="177" t="e">
        <f t="shared" si="153"/>
        <v>#N/A</v>
      </c>
      <c r="AN39" s="177" t="e">
        <f t="shared" si="148"/>
        <v>#N/A</v>
      </c>
      <c r="AO39" s="177" t="e">
        <f t="shared" si="149"/>
        <v>#N/A</v>
      </c>
      <c r="AP39" s="177" t="e">
        <f t="shared" si="154"/>
        <v>#N/A</v>
      </c>
      <c r="AQ39" s="177" t="e">
        <f t="shared" si="150"/>
        <v>#N/A</v>
      </c>
      <c r="AR39" s="177" t="e">
        <f t="shared" si="151"/>
        <v>#N/A</v>
      </c>
      <c r="AS39" s="173">
        <f t="shared" si="156"/>
        <v>3</v>
      </c>
      <c r="AT39" s="173" t="str">
        <f>VLOOKUP("f3",TeamTbl,2,FALSE)</f>
        <v>Sweden</v>
      </c>
      <c r="AU39" s="23" t="s">
        <v>166</v>
      </c>
      <c r="AV39" s="24">
        <f>COUNTIF(AA$4:AB$41,AT39)</f>
        <v>0</v>
      </c>
      <c r="AW39" s="23">
        <f>SUMIF($AA$6:$AB$41,AT39,$AC$6:$AD$41)</f>
        <v>0</v>
      </c>
      <c r="AX39" s="23">
        <f t="shared" si="34"/>
        <v>0</v>
      </c>
      <c r="AY39" s="25">
        <f t="shared" si="157"/>
        <v>11.1</v>
      </c>
      <c r="AZ39" s="23">
        <f t="shared" si="158"/>
        <v>0</v>
      </c>
      <c r="BA39" s="23">
        <f>SUMIF(I$6:J$41,AT39,K$6:L$41)</f>
        <v>0</v>
      </c>
      <c r="BB39" s="23">
        <f>SUMIF(I$6:J$41,AT39,L$6:M$41)</f>
        <v>0</v>
      </c>
      <c r="BC39" s="23">
        <f>VLOOKUP(AT39,Tbl,4,FALSE)</f>
        <v>46</v>
      </c>
      <c r="BD39" s="26">
        <f t="shared" si="159"/>
        <v>1111.02</v>
      </c>
      <c r="BE39" s="23">
        <f t="shared" si="160"/>
        <v>4</v>
      </c>
      <c r="BF39" s="24">
        <f t="shared" si="161"/>
        <v>1</v>
      </c>
      <c r="BG39" s="23">
        <f>SUMIF($AA$6:$AB$41,AT39,$AQ$6:$AR$41)</f>
        <v>0</v>
      </c>
      <c r="BH39" s="23">
        <f t="shared" si="162"/>
        <v>0</v>
      </c>
      <c r="BI39" s="23">
        <f>SUMIFS($K$6:$L$41,$AA$6:$AB$41,AT39,$AN$6:$AO$41,"&gt;0")</f>
        <v>0</v>
      </c>
      <c r="BJ39" s="23">
        <f>SUMIFS($L$6:$M$41,$AA$6:$AB$41,AT39,$AN$6:$AO$41,"&gt;0")</f>
        <v>0</v>
      </c>
      <c r="BK39" s="25">
        <f t="shared" si="163"/>
        <v>11.1</v>
      </c>
      <c r="BL39" s="22" t="str">
        <f>IF(VLOOKUP(R39,$AT$37:$BJ$40,5,FALSE)&gt;0,VLOOKUP(R39,$AT$37:$BJ$40,14,FALSE),"")</f>
        <v/>
      </c>
      <c r="BM39" s="22" t="str">
        <f>IF(VLOOKUP(R39,$AT$37:$BJ$40,5,FALSE)&gt;0,VLOOKUP(R39,$AT$37:$BJ$40,16,FALSE),"")</f>
        <v/>
      </c>
      <c r="BN39" s="22" t="str">
        <f>IF(VLOOKUP(R39,$AT$37:$BJ$40,5,FALSE)&gt;0,VLOOKUP(R39,$AT$37:$BJ$40,17,FALSE),"")</f>
        <v/>
      </c>
      <c r="BO39" s="22" t="str">
        <f t="shared" si="164"/>
        <v/>
      </c>
      <c r="BP39" s="116"/>
    </row>
    <row r="40" spans="2:68" ht="15" customHeight="1">
      <c r="B40" s="38">
        <v>43</v>
      </c>
      <c r="C40" s="35">
        <v>43278.625</v>
      </c>
      <c r="D40" s="38" t="s">
        <v>219</v>
      </c>
      <c r="E40" s="38" t="s">
        <v>216</v>
      </c>
      <c r="F40" s="119"/>
      <c r="G40" s="74">
        <f>C40+TimesInd/24</f>
        <v>43278.770833333336</v>
      </c>
      <c r="H40" s="75" t="str">
        <f t="shared" si="28"/>
        <v>Wed</v>
      </c>
      <c r="I40" s="76" t="str">
        <f t="shared" si="14"/>
        <v>Korea Republic</v>
      </c>
      <c r="J40" s="76" t="str">
        <f t="shared" si="15"/>
        <v>Germany</v>
      </c>
      <c r="K40" s="132"/>
      <c r="L40" s="133"/>
      <c r="M40" s="83">
        <f t="shared" si="16"/>
        <v>0</v>
      </c>
      <c r="N40" s="222"/>
      <c r="O40" s="223"/>
      <c r="P40" s="107" t="s">
        <v>219</v>
      </c>
      <c r="Q40" s="49">
        <v>4</v>
      </c>
      <c r="R40" s="50" t="str">
        <f>VLOOKUP(Q40,$AS$37:$AZ$40,2,FALSE)</f>
        <v>Korea Republic</v>
      </c>
      <c r="S40" s="49">
        <f>VLOOKUP(R40,$AT$37:$BB$40,3,FALSE)</f>
        <v>0</v>
      </c>
      <c r="T40" s="49">
        <f>VLOOKUP(R40,$AT$37:$BB$40,4,FALSE)</f>
        <v>0</v>
      </c>
      <c r="U40" s="49">
        <f>VLOOKUP(R40,$AT$37:$BB$40,8,FALSE)</f>
        <v>0</v>
      </c>
      <c r="V40" s="49">
        <f>VLOOKUP(R40,$AT$37:$BB$40,9,FALSE)</f>
        <v>0</v>
      </c>
      <c r="W40" s="49">
        <f t="shared" si="155"/>
        <v>0</v>
      </c>
      <c r="X40" s="49">
        <f>VLOOKUP(R40,$AT$37:$BC$40,10,FALSE)</f>
        <v>71</v>
      </c>
      <c r="Y40" s="130"/>
      <c r="Z40" s="176">
        <f>VLOOKUP(R40,$AT$37:$BE$40,12,FALSE)</f>
        <v>4</v>
      </c>
      <c r="AA40" s="177" t="str">
        <f t="shared" si="17"/>
        <v/>
      </c>
      <c r="AB40" s="177" t="str">
        <f t="shared" si="18"/>
        <v/>
      </c>
      <c r="AC40" s="177">
        <f t="shared" si="19"/>
        <v>0</v>
      </c>
      <c r="AD40" s="177">
        <f t="shared" si="20"/>
        <v>0</v>
      </c>
      <c r="AE40" s="177" t="e">
        <f t="shared" si="145"/>
        <v>#N/A</v>
      </c>
      <c r="AF40" s="177" t="e">
        <f t="shared" si="145"/>
        <v>#N/A</v>
      </c>
      <c r="AG40" s="177" t="e">
        <f t="shared" si="29"/>
        <v>#N/A</v>
      </c>
      <c r="AH40" s="177" t="e">
        <f t="shared" si="146"/>
        <v>#N/A</v>
      </c>
      <c r="AI40" s="177" t="e">
        <f t="shared" si="146"/>
        <v>#N/A</v>
      </c>
      <c r="AJ40" s="177" t="e">
        <f t="shared" si="152"/>
        <v>#N/A</v>
      </c>
      <c r="AK40" s="177" t="e">
        <f t="shared" si="147"/>
        <v>#N/A</v>
      </c>
      <c r="AL40" s="177" t="e">
        <f t="shared" si="147"/>
        <v>#N/A</v>
      </c>
      <c r="AM40" s="177" t="e">
        <f t="shared" si="153"/>
        <v>#N/A</v>
      </c>
      <c r="AN40" s="177" t="e">
        <f t="shared" si="148"/>
        <v>#N/A</v>
      </c>
      <c r="AO40" s="177" t="e">
        <f t="shared" si="149"/>
        <v>#N/A</v>
      </c>
      <c r="AP40" s="177" t="e">
        <f t="shared" si="154"/>
        <v>#N/A</v>
      </c>
      <c r="AQ40" s="177" t="e">
        <f t="shared" si="150"/>
        <v>#N/A</v>
      </c>
      <c r="AR40" s="177" t="e">
        <f t="shared" si="151"/>
        <v>#N/A</v>
      </c>
      <c r="AS40" s="173">
        <f t="shared" si="156"/>
        <v>4</v>
      </c>
      <c r="AT40" s="173" t="str">
        <f>VLOOKUP("f4",TeamTbl,2,FALSE)</f>
        <v>Korea Republic</v>
      </c>
      <c r="AU40" s="23" t="s">
        <v>166</v>
      </c>
      <c r="AV40" s="24">
        <f>COUNTIF(AA$4:AB$41,AT40)</f>
        <v>0</v>
      </c>
      <c r="AW40" s="23">
        <f>SUMIF($AA$6:$AB$41,AT40,$AC$6:$AD$41)</f>
        <v>0</v>
      </c>
      <c r="AX40" s="23">
        <f t="shared" si="34"/>
        <v>0</v>
      </c>
      <c r="AY40" s="25">
        <f t="shared" si="157"/>
        <v>11.1</v>
      </c>
      <c r="AZ40" s="23">
        <f t="shared" si="158"/>
        <v>0</v>
      </c>
      <c r="BA40" s="23">
        <f>SUMIF(I$6:J$41,AT40,K$6:L$41)</f>
        <v>0</v>
      </c>
      <c r="BB40" s="23">
        <f>SUMIF(I$6:J$41,AT40,L$6:M$41)</f>
        <v>0</v>
      </c>
      <c r="BC40" s="23">
        <f>VLOOKUP(AT40,Tbl,4,FALSE)</f>
        <v>71</v>
      </c>
      <c r="BD40" s="26">
        <f t="shared" si="159"/>
        <v>1111.01</v>
      </c>
      <c r="BE40" s="23">
        <f t="shared" si="160"/>
        <v>4</v>
      </c>
      <c r="BF40" s="24">
        <f t="shared" si="161"/>
        <v>1</v>
      </c>
      <c r="BG40" s="23">
        <f>SUMIF($AA$6:$AB$41,AT40,$AQ$6:$AR$41)</f>
        <v>0</v>
      </c>
      <c r="BH40" s="23">
        <f t="shared" si="162"/>
        <v>0</v>
      </c>
      <c r="BI40" s="23">
        <f>SUMIFS($K$6:$L$41,$AA$6:$AB$41,AT40,$AN$6:$AO$41,"&gt;0")</f>
        <v>0</v>
      </c>
      <c r="BJ40" s="23">
        <f>SUMIFS($L$6:$M$41,$AA$6:$AB$41,AT40,$AN$6:$AO$41,"&gt;0")</f>
        <v>0</v>
      </c>
      <c r="BK40" s="25">
        <f t="shared" si="163"/>
        <v>11.1</v>
      </c>
      <c r="BL40" s="22" t="str">
        <f>IF(VLOOKUP(R40,$AT$37:$BJ$40,5,FALSE)&gt;0,VLOOKUP(R40,$AT$37:$BJ$40,14,FALSE),"")</f>
        <v/>
      </c>
      <c r="BM40" s="22" t="str">
        <f>IF(VLOOKUP(R40,$AT$37:$BJ$40,5,FALSE)&gt;0,VLOOKUP(R40,$AT$37:$BJ$40,16,FALSE),"")</f>
        <v/>
      </c>
      <c r="BN40" s="22" t="str">
        <f>IF(VLOOKUP(R40,$AT$37:$BJ$40,5,FALSE)&gt;0,VLOOKUP(R40,$AT$37:$BJ$40,17,FALSE),"")</f>
        <v/>
      </c>
      <c r="BO40" s="22" t="str">
        <f t="shared" si="164"/>
        <v/>
      </c>
      <c r="BP40" s="116"/>
    </row>
    <row r="41" spans="2:68" ht="15" customHeight="1" thickBot="1">
      <c r="B41" s="38">
        <v>44</v>
      </c>
      <c r="C41" s="35">
        <v>43278.625</v>
      </c>
      <c r="D41" s="38" t="s">
        <v>217</v>
      </c>
      <c r="E41" s="38" t="s">
        <v>218</v>
      </c>
      <c r="F41" s="158"/>
      <c r="G41" s="159">
        <f>C41+TimesInd/24</f>
        <v>43278.770833333336</v>
      </c>
      <c r="H41" s="148" t="str">
        <f t="shared" si="28"/>
        <v>Wed</v>
      </c>
      <c r="I41" s="149" t="str">
        <f t="shared" si="14"/>
        <v>Mexico</v>
      </c>
      <c r="J41" s="149" t="str">
        <f t="shared" si="15"/>
        <v>Sweden</v>
      </c>
      <c r="K41" s="150"/>
      <c r="L41" s="151"/>
      <c r="M41" s="152">
        <f t="shared" si="16"/>
        <v>0</v>
      </c>
      <c r="N41" s="224"/>
      <c r="O41" s="225"/>
      <c r="P41" s="153"/>
      <c r="Q41" s="154"/>
      <c r="R41" s="155"/>
      <c r="S41" s="154"/>
      <c r="T41" s="154"/>
      <c r="U41" s="154"/>
      <c r="V41" s="154"/>
      <c r="W41" s="154"/>
      <c r="X41" s="154"/>
      <c r="Y41" s="154"/>
      <c r="Z41" s="178"/>
      <c r="AA41" s="179" t="str">
        <f t="shared" si="17"/>
        <v/>
      </c>
      <c r="AB41" s="179" t="str">
        <f t="shared" si="18"/>
        <v/>
      </c>
      <c r="AC41" s="179">
        <f t="shared" si="19"/>
        <v>0</v>
      </c>
      <c r="AD41" s="179">
        <f t="shared" si="20"/>
        <v>0</v>
      </c>
      <c r="AE41" s="179" t="e">
        <f t="shared" si="145"/>
        <v>#N/A</v>
      </c>
      <c r="AF41" s="179" t="e">
        <f t="shared" si="145"/>
        <v>#N/A</v>
      </c>
      <c r="AG41" s="179" t="e">
        <f t="shared" ref="AG41:AG42" si="165">IF(SUM(AE41:AF41)=2,1,0)</f>
        <v>#N/A</v>
      </c>
      <c r="AH41" s="179" t="e">
        <f t="shared" si="146"/>
        <v>#N/A</v>
      </c>
      <c r="AI41" s="179" t="e">
        <f t="shared" si="146"/>
        <v>#N/A</v>
      </c>
      <c r="AJ41" s="179" t="e">
        <f t="shared" ref="AJ41" si="166">IF(SUM(AH41:AI41)=2,1,0)</f>
        <v>#N/A</v>
      </c>
      <c r="AK41" s="179" t="e">
        <f t="shared" si="147"/>
        <v>#N/A</v>
      </c>
      <c r="AL41" s="179" t="e">
        <f t="shared" si="147"/>
        <v>#N/A</v>
      </c>
      <c r="AM41" s="179" t="e">
        <f t="shared" ref="AM41" si="167">IF(SUM(AK41:AL41)=2,1,0)</f>
        <v>#N/A</v>
      </c>
      <c r="AN41" s="179" t="e">
        <f t="shared" si="148"/>
        <v>#N/A</v>
      </c>
      <c r="AO41" s="179" t="e">
        <f t="shared" si="149"/>
        <v>#N/A</v>
      </c>
      <c r="AP41" s="179" t="e">
        <f t="shared" ref="AP41:AP42" si="168">AN41</f>
        <v>#N/A</v>
      </c>
      <c r="AQ41" s="179" t="e">
        <f t="shared" ref="AQ41" si="169">IF(IndF=8,AC41*AJ41+AC41*AM41,AG41)</f>
        <v>#N/A</v>
      </c>
      <c r="AR41" s="179" t="e">
        <f t="shared" ref="AR41" si="170">IF(IndF=8,AD41*AJ41+AD41*AM41,AG41)</f>
        <v>#N/A</v>
      </c>
      <c r="AS41" s="211"/>
      <c r="AT41" s="212"/>
      <c r="AU41" s="212"/>
      <c r="AV41" s="212"/>
      <c r="AW41" s="212"/>
      <c r="AX41" s="212"/>
      <c r="AY41" s="212"/>
      <c r="AZ41" s="212"/>
      <c r="BA41" s="212"/>
      <c r="BB41" s="212"/>
      <c r="BC41" s="212"/>
      <c r="BD41" s="213"/>
      <c r="BE41" s="113">
        <f>SUM(BE37:BE40)</f>
        <v>16</v>
      </c>
      <c r="BF41" s="114">
        <f>MIN(AW37:AW40)</f>
        <v>0</v>
      </c>
      <c r="BG41" s="114">
        <f>MAX(AW37:AW40)</f>
        <v>0</v>
      </c>
      <c r="BH41" s="211"/>
      <c r="BI41" s="212"/>
      <c r="BJ41" s="212"/>
      <c r="BK41" s="212"/>
      <c r="BL41" s="125"/>
      <c r="BM41" s="125"/>
      <c r="BN41" s="125"/>
      <c r="BO41" s="125"/>
      <c r="BP41" s="161"/>
    </row>
    <row r="42" spans="2:68" ht="15" customHeight="1" thickBot="1">
      <c r="B42" s="38">
        <v>13</v>
      </c>
      <c r="C42" s="35">
        <v>43269.666666666664</v>
      </c>
      <c r="D42" s="38" t="s">
        <v>79</v>
      </c>
      <c r="E42" s="38" t="s">
        <v>221</v>
      </c>
      <c r="F42" s="117"/>
      <c r="G42" s="157">
        <f>C42+TimesInd/24</f>
        <v>43269.8125</v>
      </c>
      <c r="H42" s="136" t="str">
        <f t="shared" si="28"/>
        <v>Mon</v>
      </c>
      <c r="I42" s="137" t="str">
        <f t="shared" si="14"/>
        <v>Belgium</v>
      </c>
      <c r="J42" s="137" t="str">
        <f t="shared" si="15"/>
        <v>Panama</v>
      </c>
      <c r="K42" s="138"/>
      <c r="L42" s="139"/>
      <c r="M42" s="140">
        <f t="shared" si="16"/>
        <v>0</v>
      </c>
      <c r="N42" s="220" t="s">
        <v>232</v>
      </c>
      <c r="O42" s="221"/>
      <c r="P42" s="141"/>
      <c r="Q42" s="142"/>
      <c r="R42" s="143"/>
      <c r="S42" s="142"/>
      <c r="T42" s="142"/>
      <c r="U42" s="142"/>
      <c r="V42" s="142"/>
      <c r="W42" s="142"/>
      <c r="X42" s="142"/>
      <c r="Y42" s="142"/>
      <c r="Z42" s="174"/>
      <c r="AA42" s="175" t="str">
        <f t="shared" si="17"/>
        <v/>
      </c>
      <c r="AB42" s="175" t="str">
        <f t="shared" si="18"/>
        <v/>
      </c>
      <c r="AC42" s="175">
        <f t="shared" si="19"/>
        <v>0</v>
      </c>
      <c r="AD42" s="175">
        <f t="shared" si="20"/>
        <v>0</v>
      </c>
      <c r="AE42" s="175" t="e">
        <f t="shared" ref="AE42:AF47" si="171">VLOOKUP(AA42,$AT$42:$BF$46,13,FALSE)</f>
        <v>#N/A</v>
      </c>
      <c r="AF42" s="175" t="e">
        <f t="shared" si="171"/>
        <v>#N/A</v>
      </c>
      <c r="AG42" s="175" t="e">
        <f t="shared" si="165"/>
        <v>#N/A</v>
      </c>
      <c r="AH42" s="175" t="e">
        <f t="shared" ref="AH42:AI47" si="172">IF(VLOOKUP(AA42,$AT$43:$BE$46,4,FALSE)=$BF$47,1,0)</f>
        <v>#N/A</v>
      </c>
      <c r="AI42" s="175" t="e">
        <f t="shared" si="172"/>
        <v>#N/A</v>
      </c>
      <c r="AJ42" s="175" t="e">
        <f t="shared" ref="AJ42" si="173">IF(SUM(AH42:AI42)=2,1,0)</f>
        <v>#N/A</v>
      </c>
      <c r="AK42" s="175" t="e">
        <f t="shared" ref="AK42:AL47" si="174">IF(VLOOKUP(AA42,$AT$43:$BE$46,4,FALSE)=$BG$47,1,0)</f>
        <v>#N/A</v>
      </c>
      <c r="AL42" s="175" t="e">
        <f t="shared" si="174"/>
        <v>#N/A</v>
      </c>
      <c r="AM42" s="175" t="e">
        <f t="shared" ref="AM42" si="175">IF(SUM(AK42:AL42)=2,1,0)</f>
        <v>#N/A</v>
      </c>
      <c r="AN42" s="175" t="e">
        <f t="shared" si="148"/>
        <v>#N/A</v>
      </c>
      <c r="AO42" s="175" t="e">
        <f t="shared" si="149"/>
        <v>#N/A</v>
      </c>
      <c r="AP42" s="175" t="e">
        <f t="shared" si="168"/>
        <v>#N/A</v>
      </c>
      <c r="AQ42" s="175" t="e">
        <f t="shared" ref="AQ42:AQ47" si="176">IF(IndG=8,AC42*AJ42+AC42*AM42,AG42)</f>
        <v>#N/A</v>
      </c>
      <c r="AR42" s="175" t="e">
        <f t="shared" ref="AR42:AR47" si="177">IF(IndG=8,AD42*AJ42+AD42*AM42,AG42)</f>
        <v>#N/A</v>
      </c>
      <c r="AS42" s="216" t="s">
        <v>159</v>
      </c>
      <c r="AT42" s="217" t="s">
        <v>3</v>
      </c>
      <c r="AU42" s="217" t="s">
        <v>172</v>
      </c>
      <c r="AV42" s="217" t="s">
        <v>86</v>
      </c>
      <c r="AW42" s="217" t="s">
        <v>5</v>
      </c>
      <c r="AX42" s="217" t="s">
        <v>187</v>
      </c>
      <c r="AY42" s="217" t="s">
        <v>180</v>
      </c>
      <c r="AZ42" s="217" t="s">
        <v>2</v>
      </c>
      <c r="BA42" s="217" t="s">
        <v>0</v>
      </c>
      <c r="BB42" s="217" t="s">
        <v>1</v>
      </c>
      <c r="BC42" s="217" t="s">
        <v>78</v>
      </c>
      <c r="BD42" s="218" t="s">
        <v>87</v>
      </c>
      <c r="BE42" s="144" t="s">
        <v>185</v>
      </c>
      <c r="BF42" s="145" t="s">
        <v>186</v>
      </c>
      <c r="BG42" s="145" t="s">
        <v>5</v>
      </c>
      <c r="BH42" s="216" t="s">
        <v>179</v>
      </c>
      <c r="BI42" s="217" t="s">
        <v>0</v>
      </c>
      <c r="BJ42" s="217" t="s">
        <v>1</v>
      </c>
      <c r="BK42" s="217" t="s">
        <v>184</v>
      </c>
      <c r="BL42" s="146"/>
      <c r="BM42" s="146"/>
      <c r="BN42" s="146"/>
      <c r="BO42" s="146"/>
      <c r="BP42" s="147"/>
    </row>
    <row r="43" spans="2:68" ht="15" customHeight="1">
      <c r="B43" s="38">
        <v>14</v>
      </c>
      <c r="C43" s="35">
        <v>43269.791666666664</v>
      </c>
      <c r="D43" s="38" t="s">
        <v>220</v>
      </c>
      <c r="E43" s="38" t="s">
        <v>188</v>
      </c>
      <c r="F43" s="119"/>
      <c r="G43" s="74">
        <f>C43+TimesInd/24</f>
        <v>43269.9375</v>
      </c>
      <c r="H43" s="75" t="str">
        <f t="shared" si="28"/>
        <v>Mon</v>
      </c>
      <c r="I43" s="76" t="str">
        <f t="shared" si="14"/>
        <v>Tunisia</v>
      </c>
      <c r="J43" s="76" t="str">
        <f t="shared" si="15"/>
        <v>England</v>
      </c>
      <c r="K43" s="132"/>
      <c r="L43" s="133"/>
      <c r="M43" s="83">
        <f t="shared" si="16"/>
        <v>0</v>
      </c>
      <c r="N43" s="222"/>
      <c r="O43" s="223"/>
      <c r="P43" s="107" t="s">
        <v>79</v>
      </c>
      <c r="Q43" s="53">
        <v>1</v>
      </c>
      <c r="R43" s="54" t="str">
        <f>VLOOKUP(Q43,$AS$43:$AZ$46,2,FALSE)</f>
        <v>Panama</v>
      </c>
      <c r="S43" s="53">
        <f>VLOOKUP(R43,$AT$43:$BB$46,3,FALSE)</f>
        <v>0</v>
      </c>
      <c r="T43" s="53">
        <f>VLOOKUP(R43,$AT$43:$BB$46,4,FALSE)</f>
        <v>0</v>
      </c>
      <c r="U43" s="53">
        <f>VLOOKUP(R43,$AT$43:$BB$46,8,FALSE)</f>
        <v>0</v>
      </c>
      <c r="V43" s="53">
        <f>VLOOKUP(R43,$AT$43:$BB$46,9,FALSE)</f>
        <v>0</v>
      </c>
      <c r="W43" s="53">
        <f>U43-V43</f>
        <v>0</v>
      </c>
      <c r="X43" s="53">
        <f>VLOOKUP(R43,$AT$43:$BC$46,10,FALSE)</f>
        <v>25</v>
      </c>
      <c r="Y43" s="130"/>
      <c r="Z43" s="176">
        <f>VLOOKUP(R43,$AT$43:$BE$46,12,FALSE)</f>
        <v>4</v>
      </c>
      <c r="AA43" s="177" t="str">
        <f t="shared" si="17"/>
        <v/>
      </c>
      <c r="AB43" s="177" t="str">
        <f t="shared" si="18"/>
        <v/>
      </c>
      <c r="AC43" s="177">
        <f t="shared" si="19"/>
        <v>0</v>
      </c>
      <c r="AD43" s="177">
        <f t="shared" si="20"/>
        <v>0</v>
      </c>
      <c r="AE43" s="177" t="e">
        <f t="shared" si="171"/>
        <v>#N/A</v>
      </c>
      <c r="AF43" s="177" t="e">
        <f t="shared" si="171"/>
        <v>#N/A</v>
      </c>
      <c r="AG43" s="177" t="e">
        <f t="shared" ref="AG43:AG47" si="178">IF(SUM(AE43:AF43)=2,1,0)</f>
        <v>#N/A</v>
      </c>
      <c r="AH43" s="177" t="e">
        <f t="shared" si="172"/>
        <v>#N/A</v>
      </c>
      <c r="AI43" s="177" t="e">
        <f t="shared" si="172"/>
        <v>#N/A</v>
      </c>
      <c r="AJ43" s="177" t="e">
        <f t="shared" ref="AJ43:AJ47" si="179">IF(SUM(AH43:AI43)=2,1,0)</f>
        <v>#N/A</v>
      </c>
      <c r="AK43" s="177" t="e">
        <f t="shared" si="174"/>
        <v>#N/A</v>
      </c>
      <c r="AL43" s="177" t="e">
        <f t="shared" si="174"/>
        <v>#N/A</v>
      </c>
      <c r="AM43" s="177" t="e">
        <f t="shared" ref="AM43:AM47" si="180">IF(SUM(AK43:AL43)=2,1,0)</f>
        <v>#N/A</v>
      </c>
      <c r="AN43" s="177" t="e">
        <f t="shared" si="148"/>
        <v>#N/A</v>
      </c>
      <c r="AO43" s="177" t="e">
        <f t="shared" si="149"/>
        <v>#N/A</v>
      </c>
      <c r="AP43" s="177" t="e">
        <f t="shared" ref="AP43:AP47" si="181">AN43</f>
        <v>#N/A</v>
      </c>
      <c r="AQ43" s="177" t="e">
        <f t="shared" si="176"/>
        <v>#N/A</v>
      </c>
      <c r="AR43" s="177" t="e">
        <f t="shared" si="177"/>
        <v>#N/A</v>
      </c>
      <c r="AS43" s="173">
        <f>RANK(BD43,$BD$43:$BD$46)</f>
        <v>3</v>
      </c>
      <c r="AT43" s="173" t="str">
        <f>VLOOKUP("g1",TeamTbl,2,FALSE)</f>
        <v>Belgium</v>
      </c>
      <c r="AU43" s="23" t="s">
        <v>232</v>
      </c>
      <c r="AV43" s="24">
        <f>COUNTIF(AA$6:AB$53,AT43)</f>
        <v>0</v>
      </c>
      <c r="AW43" s="23">
        <f>SUMIF($AA$6:$AB$53,AT43,$AC$6:$AD$53)</f>
        <v>0</v>
      </c>
      <c r="AX43" s="23">
        <f t="shared" ref="AX43" si="182">AW43*BF43</f>
        <v>0</v>
      </c>
      <c r="AY43" s="25">
        <f>BK43</f>
        <v>11.1</v>
      </c>
      <c r="AZ43" s="23">
        <f>BA43-BB43</f>
        <v>0</v>
      </c>
      <c r="BA43" s="23">
        <f>SUMIF(I$6:J$53,AT43,K$6:L$53)</f>
        <v>0</v>
      </c>
      <c r="BB43" s="23">
        <f>SUMIF(I$6:J$53,AT43,L$6:M$53)</f>
        <v>0</v>
      </c>
      <c r="BC43" s="23">
        <f>VLOOKUP(AT43,Tbl,4,FALSE)</f>
        <v>69</v>
      </c>
      <c r="BD43" s="26">
        <f>RANK(AW43,$AW$43:$AW$46,1)*1000+RANK(AY43,$AY$43:$AY$46,1)+RANK(AZ43,$AZ$43:$AZ$46,1)*100+RANK(BA43,$BA$43:$BA$46,1)*10+RANK(BC43,$BC$43:$BC$46,0)*0.01</f>
        <v>1111.02</v>
      </c>
      <c r="BE43" s="23">
        <f>COUNTIF($AW$43:$AW$46,AW43)</f>
        <v>4</v>
      </c>
      <c r="BF43" s="24">
        <f>IF(BE43=1,0,1)</f>
        <v>1</v>
      </c>
      <c r="BG43" s="23">
        <f>SUMIF($AA$6:$AB$53,AT43,$AQ$6:$AR$53)</f>
        <v>0</v>
      </c>
      <c r="BH43" s="23">
        <f>BI43-BJ43</f>
        <v>0</v>
      </c>
      <c r="BI43" s="23">
        <f>SUMIFS($K$6:$L$53,$AA$6:$AB$53,AT43,$AN$6:$AO$53,"&gt;0")</f>
        <v>0</v>
      </c>
      <c r="BJ43" s="23">
        <f>SUMIFS($L$6:$M$53,$AA$6:$AB$53,AT43,$AN$6:$AO$53,"&gt;0")</f>
        <v>0</v>
      </c>
      <c r="BK43" s="25">
        <f>RANK(BG43,$BG$43:$BG$46,1)*10+RANK(BH43,$BH$43:$BH$46,1)+RANK(BI43,$BI$43:$BI$46,1)*0.1</f>
        <v>11.1</v>
      </c>
      <c r="BL43" s="22" t="str">
        <f>IF(VLOOKUP(R43,$AT$43:$BJ$46,5,FALSE)&gt;0,VLOOKUP(R43,$AT$43:$BJ$46,14,FALSE),"")</f>
        <v/>
      </c>
      <c r="BM43" s="22" t="str">
        <f>IF(VLOOKUP(R43,$AT$43:$BJ$46,5,FALSE)&gt;0,VLOOKUP(R43,$AT$43:$BJ$46,16,FALSE),"")</f>
        <v/>
      </c>
      <c r="BN43" s="22" t="str">
        <f>IF(VLOOKUP(R43,$AT$43:$BJ$46,5,FALSE)&gt;0,VLOOKUP(R43,$AT$43:$BJ$46,17,FALSE),"")</f>
        <v/>
      </c>
      <c r="BO43" s="22" t="str">
        <f>IF(BL43&lt;&gt;"",BM43-BN43,"")</f>
        <v/>
      </c>
      <c r="BP43" s="116"/>
    </row>
    <row r="44" spans="2:68" ht="15" customHeight="1">
      <c r="B44" s="38">
        <v>29</v>
      </c>
      <c r="C44" s="35">
        <v>43274.541666666664</v>
      </c>
      <c r="D44" s="38" t="s">
        <v>79</v>
      </c>
      <c r="E44" s="38" t="s">
        <v>220</v>
      </c>
      <c r="F44" s="119"/>
      <c r="G44" s="74">
        <f>C44+TimesInd/24</f>
        <v>43274.6875</v>
      </c>
      <c r="H44" s="75" t="str">
        <f t="shared" si="28"/>
        <v>Sat</v>
      </c>
      <c r="I44" s="76" t="str">
        <f t="shared" si="14"/>
        <v>Belgium</v>
      </c>
      <c r="J44" s="76" t="str">
        <f t="shared" si="15"/>
        <v>Tunisia</v>
      </c>
      <c r="K44" s="132"/>
      <c r="L44" s="133"/>
      <c r="M44" s="83">
        <f t="shared" si="16"/>
        <v>0</v>
      </c>
      <c r="N44" s="222"/>
      <c r="O44" s="223"/>
      <c r="P44" s="107" t="s">
        <v>188</v>
      </c>
      <c r="Q44" s="53">
        <v>2</v>
      </c>
      <c r="R44" s="54" t="str">
        <f>VLOOKUP(Q44,$AS$43:$AZ$46,2,FALSE)</f>
        <v>England</v>
      </c>
      <c r="S44" s="53">
        <f>VLOOKUP(R44,$AT$43:$BB$46,3,FALSE)</f>
        <v>0</v>
      </c>
      <c r="T44" s="53">
        <f>VLOOKUP(R44,$AT$43:$BB$46,4,FALSE)</f>
        <v>0</v>
      </c>
      <c r="U44" s="53">
        <f>VLOOKUP(R44,$AT$43:$BB$46,8,FALSE)</f>
        <v>0</v>
      </c>
      <c r="V44" s="53">
        <f>VLOOKUP(R44,$AT$43:$BB$46,9,FALSE)</f>
        <v>0</v>
      </c>
      <c r="W44" s="53">
        <f t="shared" ref="W44:W46" si="183">U44-V44</f>
        <v>0</v>
      </c>
      <c r="X44" s="53">
        <f>VLOOKUP(R44,$AT$43:$BC$46,10,FALSE)</f>
        <v>64</v>
      </c>
      <c r="Y44" s="130"/>
      <c r="Z44" s="176">
        <f>VLOOKUP(R44,$AT$43:$BE$46,12,FALSE)</f>
        <v>4</v>
      </c>
      <c r="AA44" s="177" t="str">
        <f t="shared" si="17"/>
        <v/>
      </c>
      <c r="AB44" s="177" t="str">
        <f t="shared" si="18"/>
        <v/>
      </c>
      <c r="AC44" s="177">
        <f t="shared" si="19"/>
        <v>0</v>
      </c>
      <c r="AD44" s="177">
        <f t="shared" si="20"/>
        <v>0</v>
      </c>
      <c r="AE44" s="177" t="e">
        <f t="shared" si="171"/>
        <v>#N/A</v>
      </c>
      <c r="AF44" s="177" t="e">
        <f t="shared" si="171"/>
        <v>#N/A</v>
      </c>
      <c r="AG44" s="177" t="e">
        <f t="shared" si="178"/>
        <v>#N/A</v>
      </c>
      <c r="AH44" s="177" t="e">
        <f t="shared" si="172"/>
        <v>#N/A</v>
      </c>
      <c r="AI44" s="177" t="e">
        <f t="shared" si="172"/>
        <v>#N/A</v>
      </c>
      <c r="AJ44" s="177" t="e">
        <f t="shared" si="179"/>
        <v>#N/A</v>
      </c>
      <c r="AK44" s="177" t="e">
        <f t="shared" si="174"/>
        <v>#N/A</v>
      </c>
      <c r="AL44" s="177" t="e">
        <f t="shared" si="174"/>
        <v>#N/A</v>
      </c>
      <c r="AM44" s="177" t="e">
        <f t="shared" si="180"/>
        <v>#N/A</v>
      </c>
      <c r="AN44" s="177" t="e">
        <f t="shared" si="148"/>
        <v>#N/A</v>
      </c>
      <c r="AO44" s="177" t="e">
        <f t="shared" si="149"/>
        <v>#N/A</v>
      </c>
      <c r="AP44" s="177" t="e">
        <f t="shared" si="181"/>
        <v>#N/A</v>
      </c>
      <c r="AQ44" s="177" t="e">
        <f t="shared" si="176"/>
        <v>#N/A</v>
      </c>
      <c r="AR44" s="177" t="e">
        <f t="shared" si="177"/>
        <v>#N/A</v>
      </c>
      <c r="AS44" s="173">
        <f t="shared" ref="AS44:AS46" si="184">RANK(BD44,$BD$43:$BD$46)</f>
        <v>2</v>
      </c>
      <c r="AT44" s="173" t="str">
        <f>VLOOKUP("g2",TeamTbl,2,FALSE)</f>
        <v>England</v>
      </c>
      <c r="AU44" s="23" t="s">
        <v>232</v>
      </c>
      <c r="AV44" s="24">
        <f>COUNTIF(AA$6:AB$53,AT44)</f>
        <v>0</v>
      </c>
      <c r="AW44" s="23">
        <f>SUMIF($AA$6:$AB$53,AT44,$AC$6:$AD$53)</f>
        <v>0</v>
      </c>
      <c r="AX44" s="23">
        <f t="shared" ref="AX44:AX46" si="185">AW44*BF44</f>
        <v>0</v>
      </c>
      <c r="AY44" s="25">
        <f t="shared" ref="AY44:AY46" si="186">BK44</f>
        <v>11.1</v>
      </c>
      <c r="AZ44" s="23">
        <f t="shared" ref="AZ44:AZ46" si="187">BA44-BB44</f>
        <v>0</v>
      </c>
      <c r="BA44" s="23">
        <f>SUMIF(I$6:J$53,AT44,K$6:L$53)</f>
        <v>0</v>
      </c>
      <c r="BB44" s="23">
        <f>SUMIF(I$6:J$53,AT44,L$6:M$53)</f>
        <v>0</v>
      </c>
      <c r="BC44" s="23">
        <f>VLOOKUP(AT44,Tbl,4,FALSE)</f>
        <v>64</v>
      </c>
      <c r="BD44" s="26">
        <f t="shared" ref="BD44:BD46" si="188">RANK(AW44,$AW$43:$AW$46,1)*1000+RANK(AY44,$AY$43:$AY$46,1)+RANK(AZ44,$AZ$43:$AZ$46,1)*100+RANK(BA44,$BA$43:$BA$46,1)*10+RANK(BC44,$BC$43:$BC$46,0)*0.01</f>
        <v>1111.03</v>
      </c>
      <c r="BE44" s="23">
        <f t="shared" ref="BE44:BE46" si="189">COUNTIF($AW$43:$AW$46,AW44)</f>
        <v>4</v>
      </c>
      <c r="BF44" s="24">
        <f t="shared" ref="BF44:BF46" si="190">IF(BE44=1,0,1)</f>
        <v>1</v>
      </c>
      <c r="BG44" s="23">
        <f>SUMIF($AA$6:$AB$53,AT44,$AQ$6:$AR$53)</f>
        <v>0</v>
      </c>
      <c r="BH44" s="23">
        <f t="shared" ref="BH44:BH46" si="191">BI44-BJ44</f>
        <v>0</v>
      </c>
      <c r="BI44" s="23">
        <f>SUMIFS($K$6:$L$53,$AA$6:$AB$53,AT44,$AN$6:$AO$53,"&gt;0")</f>
        <v>0</v>
      </c>
      <c r="BJ44" s="23">
        <f>SUMIFS($L$6:$M$53,$AA$6:$AB$53,AT44,$AN$6:$AO$53,"&gt;0")</f>
        <v>0</v>
      </c>
      <c r="BK44" s="25">
        <f t="shared" ref="BK44:BK46" si="192">RANK(BG44,$BG$43:$BG$46,1)*10+RANK(BH44,$BH$43:$BH$46,1)+RANK(BI44,$BI$43:$BI$46,1)*0.1</f>
        <v>11.1</v>
      </c>
      <c r="BL44" s="22" t="str">
        <f>IF(VLOOKUP(R44,$AT$43:$BJ$46,5,FALSE)&gt;0,VLOOKUP(R44,$AT$43:$BJ$46,14,FALSE),"")</f>
        <v/>
      </c>
      <c r="BM44" s="22" t="str">
        <f>IF(VLOOKUP(R44,$AT$43:$BJ$46,5,FALSE)&gt;0,VLOOKUP(R44,$AT$43:$BJ$46,16,FALSE),"")</f>
        <v/>
      </c>
      <c r="BN44" s="22" t="str">
        <f>IF(VLOOKUP(R44,$AT$43:$BJ$46,5,FALSE)&gt;0,VLOOKUP(R44,$AT$43:$BJ$46,17,FALSE),"")</f>
        <v/>
      </c>
      <c r="BO44" s="22" t="str">
        <f t="shared" ref="BO44:BO46" si="193">IF(BL44&lt;&gt;"",BM44-BN44,"")</f>
        <v/>
      </c>
      <c r="BP44" s="116"/>
    </row>
    <row r="45" spans="2:68" ht="15" customHeight="1">
      <c r="B45" s="38">
        <v>30</v>
      </c>
      <c r="C45" s="35">
        <v>43275.541666666664</v>
      </c>
      <c r="D45" s="38" t="s">
        <v>221</v>
      </c>
      <c r="E45" s="38" t="s">
        <v>188</v>
      </c>
      <c r="F45" s="119"/>
      <c r="G45" s="74">
        <f>C45+TimesInd/24</f>
        <v>43275.6875</v>
      </c>
      <c r="H45" s="75" t="str">
        <f t="shared" si="28"/>
        <v>Sun</v>
      </c>
      <c r="I45" s="76" t="str">
        <f t="shared" si="14"/>
        <v>Panama</v>
      </c>
      <c r="J45" s="76" t="str">
        <f t="shared" si="15"/>
        <v>England</v>
      </c>
      <c r="K45" s="132"/>
      <c r="L45" s="133"/>
      <c r="M45" s="83">
        <f t="shared" si="16"/>
        <v>0</v>
      </c>
      <c r="N45" s="222"/>
      <c r="O45" s="223"/>
      <c r="P45" s="107" t="s">
        <v>220</v>
      </c>
      <c r="Q45" s="49">
        <v>3</v>
      </c>
      <c r="R45" s="50" t="str">
        <f>VLOOKUP(Q45,$AS$43:$AZ$46,2,FALSE)</f>
        <v>Belgium</v>
      </c>
      <c r="S45" s="49">
        <f>VLOOKUP(R45,$AT$43:$BB$46,3,FALSE)</f>
        <v>0</v>
      </c>
      <c r="T45" s="49">
        <f>VLOOKUP(R45,$AT$43:$BB$46,4,FALSE)</f>
        <v>0</v>
      </c>
      <c r="U45" s="49">
        <f>VLOOKUP(R45,$AT$43:$BB$46,8,FALSE)</f>
        <v>0</v>
      </c>
      <c r="V45" s="49">
        <f>VLOOKUP(R45,$AT$43:$BB$46,9,FALSE)</f>
        <v>0</v>
      </c>
      <c r="W45" s="49">
        <f t="shared" si="183"/>
        <v>0</v>
      </c>
      <c r="X45" s="49">
        <f>VLOOKUP(R45,$AT$43:$BC$46,10,FALSE)</f>
        <v>69</v>
      </c>
      <c r="Y45" s="130"/>
      <c r="Z45" s="176">
        <f>VLOOKUP(R45,$AT$43:$BE$46,12,FALSE)</f>
        <v>4</v>
      </c>
      <c r="AA45" s="177" t="str">
        <f t="shared" si="17"/>
        <v/>
      </c>
      <c r="AB45" s="177" t="str">
        <f t="shared" si="18"/>
        <v/>
      </c>
      <c r="AC45" s="177">
        <f t="shared" si="19"/>
        <v>0</v>
      </c>
      <c r="AD45" s="177">
        <f t="shared" si="20"/>
        <v>0</v>
      </c>
      <c r="AE45" s="177" t="e">
        <f t="shared" si="171"/>
        <v>#N/A</v>
      </c>
      <c r="AF45" s="177" t="e">
        <f t="shared" si="171"/>
        <v>#N/A</v>
      </c>
      <c r="AG45" s="177" t="e">
        <f t="shared" si="178"/>
        <v>#N/A</v>
      </c>
      <c r="AH45" s="177" t="e">
        <f t="shared" si="172"/>
        <v>#N/A</v>
      </c>
      <c r="AI45" s="177" t="e">
        <f t="shared" si="172"/>
        <v>#N/A</v>
      </c>
      <c r="AJ45" s="177" t="e">
        <f t="shared" si="179"/>
        <v>#N/A</v>
      </c>
      <c r="AK45" s="177" t="e">
        <f t="shared" si="174"/>
        <v>#N/A</v>
      </c>
      <c r="AL45" s="177" t="e">
        <f t="shared" si="174"/>
        <v>#N/A</v>
      </c>
      <c r="AM45" s="177" t="e">
        <f t="shared" si="180"/>
        <v>#N/A</v>
      </c>
      <c r="AN45" s="177" t="e">
        <f t="shared" si="148"/>
        <v>#N/A</v>
      </c>
      <c r="AO45" s="177" t="e">
        <f t="shared" si="149"/>
        <v>#N/A</v>
      </c>
      <c r="AP45" s="177" t="e">
        <f t="shared" si="181"/>
        <v>#N/A</v>
      </c>
      <c r="AQ45" s="177" t="e">
        <f t="shared" si="176"/>
        <v>#N/A</v>
      </c>
      <c r="AR45" s="177" t="e">
        <f t="shared" si="177"/>
        <v>#N/A</v>
      </c>
      <c r="AS45" s="173">
        <f t="shared" si="184"/>
        <v>4</v>
      </c>
      <c r="AT45" s="173" t="str">
        <f>VLOOKUP("g3",TeamTbl,2,FALSE)</f>
        <v>Tunisia</v>
      </c>
      <c r="AU45" s="23" t="s">
        <v>232</v>
      </c>
      <c r="AV45" s="24">
        <f>COUNTIF(AA$6:AB$53,AT45)</f>
        <v>0</v>
      </c>
      <c r="AW45" s="23">
        <f>SUMIF($AA$6:$AB$53,AT45,$AC$6:$AD$53)</f>
        <v>0</v>
      </c>
      <c r="AX45" s="23">
        <f t="shared" si="185"/>
        <v>0</v>
      </c>
      <c r="AY45" s="25">
        <f t="shared" si="186"/>
        <v>11.1</v>
      </c>
      <c r="AZ45" s="23">
        <f t="shared" si="187"/>
        <v>0</v>
      </c>
      <c r="BA45" s="23">
        <f>SUMIF(I$6:J$53,AT45,K$6:L$53)</f>
        <v>0</v>
      </c>
      <c r="BB45" s="23">
        <f>SUMIF(I$6:J$53,AT45,L$6:M$53)</f>
        <v>0</v>
      </c>
      <c r="BC45" s="23">
        <f>VLOOKUP(AT45,Tbl,4,FALSE)</f>
        <v>93</v>
      </c>
      <c r="BD45" s="26">
        <f t="shared" si="188"/>
        <v>1111.01</v>
      </c>
      <c r="BE45" s="23">
        <f t="shared" si="189"/>
        <v>4</v>
      </c>
      <c r="BF45" s="24">
        <f t="shared" si="190"/>
        <v>1</v>
      </c>
      <c r="BG45" s="23">
        <f>SUMIF($AA$6:$AB$53,AT45,$AQ$6:$AR$53)</f>
        <v>0</v>
      </c>
      <c r="BH45" s="23">
        <f t="shared" si="191"/>
        <v>0</v>
      </c>
      <c r="BI45" s="23">
        <f>SUMIFS($K$6:$L$53,$AA$6:$AB$53,AT45,$AN$6:$AO$53,"&gt;0")</f>
        <v>0</v>
      </c>
      <c r="BJ45" s="23">
        <f>SUMIFS($L$6:$M$53,$AA$6:$AB$53,AT45,$AN$6:$AO$53,"&gt;0")</f>
        <v>0</v>
      </c>
      <c r="BK45" s="25">
        <f t="shared" si="192"/>
        <v>11.1</v>
      </c>
      <c r="BL45" s="22" t="str">
        <f>IF(VLOOKUP(R45,$AT$43:$BJ$46,5,FALSE)&gt;0,VLOOKUP(R45,$AT$43:$BJ$46,14,FALSE),"")</f>
        <v/>
      </c>
      <c r="BM45" s="22" t="str">
        <f>IF(VLOOKUP(R45,$AT$43:$BJ$46,5,FALSE)&gt;0,VLOOKUP(R45,$AT$43:$BJ$46,16,FALSE),"")</f>
        <v/>
      </c>
      <c r="BN45" s="22" t="str">
        <f>IF(VLOOKUP(R45,$AT$43:$BJ$46,5,FALSE)&gt;0,VLOOKUP(R45,$AT$43:$BJ$46,17,FALSE),"")</f>
        <v/>
      </c>
      <c r="BO45" s="22" t="str">
        <f t="shared" si="193"/>
        <v/>
      </c>
      <c r="BP45" s="116"/>
    </row>
    <row r="46" spans="2:68" ht="15" customHeight="1">
      <c r="B46" s="38">
        <v>45</v>
      </c>
      <c r="C46" s="35">
        <v>43279.791666666664</v>
      </c>
      <c r="D46" s="38" t="s">
        <v>221</v>
      </c>
      <c r="E46" s="38" t="s">
        <v>220</v>
      </c>
      <c r="F46" s="119"/>
      <c r="G46" s="74">
        <f>C46+TimesInd/24</f>
        <v>43279.9375</v>
      </c>
      <c r="H46" s="75" t="str">
        <f t="shared" si="28"/>
        <v>Thu</v>
      </c>
      <c r="I46" s="76" t="str">
        <f t="shared" si="14"/>
        <v>Panama</v>
      </c>
      <c r="J46" s="76" t="str">
        <f t="shared" si="15"/>
        <v>Tunisia</v>
      </c>
      <c r="K46" s="132"/>
      <c r="L46" s="133"/>
      <c r="M46" s="83">
        <f t="shared" si="16"/>
        <v>0</v>
      </c>
      <c r="N46" s="222"/>
      <c r="O46" s="223"/>
      <c r="P46" s="107" t="s">
        <v>221</v>
      </c>
      <c r="Q46" s="49">
        <v>4</v>
      </c>
      <c r="R46" s="50" t="str">
        <f>VLOOKUP(Q46,$AS$43:$AZ$46,2,FALSE)</f>
        <v>Tunisia</v>
      </c>
      <c r="S46" s="49">
        <f>VLOOKUP(R46,$AT$43:$BB$46,3,FALSE)</f>
        <v>0</v>
      </c>
      <c r="T46" s="49">
        <f>VLOOKUP(R46,$AT$43:$BB$46,4,FALSE)</f>
        <v>0</v>
      </c>
      <c r="U46" s="49">
        <f>VLOOKUP(R46,$AT$43:$BB$46,8,FALSE)</f>
        <v>0</v>
      </c>
      <c r="V46" s="49">
        <f>VLOOKUP(R46,$AT$43:$BB$46,9,FALSE)</f>
        <v>0</v>
      </c>
      <c r="W46" s="49">
        <f t="shared" si="183"/>
        <v>0</v>
      </c>
      <c r="X46" s="49">
        <f>VLOOKUP(R46,$AT$43:$BC$46,10,FALSE)</f>
        <v>93</v>
      </c>
      <c r="Y46" s="130"/>
      <c r="Z46" s="176">
        <f>VLOOKUP(R46,$AT$43:$BE$46,12,FALSE)</f>
        <v>4</v>
      </c>
      <c r="AA46" s="177" t="str">
        <f t="shared" si="17"/>
        <v/>
      </c>
      <c r="AB46" s="177" t="str">
        <f t="shared" si="18"/>
        <v/>
      </c>
      <c r="AC46" s="177">
        <f t="shared" si="19"/>
        <v>0</v>
      </c>
      <c r="AD46" s="177">
        <f t="shared" si="20"/>
        <v>0</v>
      </c>
      <c r="AE46" s="177" t="e">
        <f t="shared" si="171"/>
        <v>#N/A</v>
      </c>
      <c r="AF46" s="177" t="e">
        <f t="shared" si="171"/>
        <v>#N/A</v>
      </c>
      <c r="AG46" s="177" t="e">
        <f t="shared" si="178"/>
        <v>#N/A</v>
      </c>
      <c r="AH46" s="177" t="e">
        <f t="shared" si="172"/>
        <v>#N/A</v>
      </c>
      <c r="AI46" s="177" t="e">
        <f t="shared" si="172"/>
        <v>#N/A</v>
      </c>
      <c r="AJ46" s="177" t="e">
        <f t="shared" si="179"/>
        <v>#N/A</v>
      </c>
      <c r="AK46" s="177" t="e">
        <f t="shared" si="174"/>
        <v>#N/A</v>
      </c>
      <c r="AL46" s="177" t="e">
        <f t="shared" si="174"/>
        <v>#N/A</v>
      </c>
      <c r="AM46" s="177" t="e">
        <f t="shared" si="180"/>
        <v>#N/A</v>
      </c>
      <c r="AN46" s="177" t="e">
        <f t="shared" si="148"/>
        <v>#N/A</v>
      </c>
      <c r="AO46" s="177" t="e">
        <f t="shared" si="149"/>
        <v>#N/A</v>
      </c>
      <c r="AP46" s="177" t="e">
        <f t="shared" si="181"/>
        <v>#N/A</v>
      </c>
      <c r="AQ46" s="177" t="e">
        <f t="shared" si="176"/>
        <v>#N/A</v>
      </c>
      <c r="AR46" s="177" t="e">
        <f t="shared" si="177"/>
        <v>#N/A</v>
      </c>
      <c r="AS46" s="173">
        <f t="shared" si="184"/>
        <v>1</v>
      </c>
      <c r="AT46" s="173" t="str">
        <f>VLOOKUP("g4",TeamTbl,2,FALSE)</f>
        <v>Panama</v>
      </c>
      <c r="AU46" s="23" t="s">
        <v>232</v>
      </c>
      <c r="AV46" s="24">
        <f>COUNTIF(AA$6:AB$53,AT46)</f>
        <v>0</v>
      </c>
      <c r="AW46" s="23">
        <f>SUMIF($AA$6:$AB$53,AT46,$AC$6:$AD$53)</f>
        <v>0</v>
      </c>
      <c r="AX46" s="23">
        <f t="shared" si="185"/>
        <v>0</v>
      </c>
      <c r="AY46" s="25">
        <f t="shared" si="186"/>
        <v>11.1</v>
      </c>
      <c r="AZ46" s="23">
        <f t="shared" si="187"/>
        <v>0</v>
      </c>
      <c r="BA46" s="23">
        <f>SUMIF(I$6:J$53,AT46,K$6:L$53)</f>
        <v>0</v>
      </c>
      <c r="BB46" s="23">
        <f>SUMIF(I$6:J$53,AT46,L$6:M$53)</f>
        <v>0</v>
      </c>
      <c r="BC46" s="23">
        <f>VLOOKUP(AT46,Tbl,4,FALSE)</f>
        <v>25</v>
      </c>
      <c r="BD46" s="26">
        <f t="shared" si="188"/>
        <v>1111.04</v>
      </c>
      <c r="BE46" s="23">
        <f t="shared" si="189"/>
        <v>4</v>
      </c>
      <c r="BF46" s="24">
        <f t="shared" si="190"/>
        <v>1</v>
      </c>
      <c r="BG46" s="23">
        <f>SUMIF($AA$6:$AB$53,AT46,$AQ$6:$AR$53)</f>
        <v>0</v>
      </c>
      <c r="BH46" s="23">
        <f t="shared" si="191"/>
        <v>0</v>
      </c>
      <c r="BI46" s="23">
        <f>SUMIFS($K$6:$L$53,$AA$6:$AB$53,AT46,$AN$6:$AO$53,"&gt;0")</f>
        <v>0</v>
      </c>
      <c r="BJ46" s="23">
        <f>SUMIFS($L$6:$M$53,$AA$6:$AB$53,AT46,$AN$6:$AO$53,"&gt;0")</f>
        <v>0</v>
      </c>
      <c r="BK46" s="25">
        <f t="shared" si="192"/>
        <v>11.1</v>
      </c>
      <c r="BL46" s="22" t="str">
        <f>IF(VLOOKUP(R46,$AT$43:$BJ$46,5,FALSE)&gt;0,VLOOKUP(R46,$AT$43:$BJ$46,14,FALSE),"")</f>
        <v/>
      </c>
      <c r="BM46" s="22" t="str">
        <f>IF(VLOOKUP(R46,$AT$43:$BJ$46,5,FALSE)&gt;0,VLOOKUP(R46,$AT$43:$BJ$46,16,FALSE),"")</f>
        <v/>
      </c>
      <c r="BN46" s="22" t="str">
        <f>IF(VLOOKUP(R46,$AT$43:$BJ$46,5,FALSE)&gt;0,VLOOKUP(R46,$AT$43:$BJ$46,17,FALSE),"")</f>
        <v/>
      </c>
      <c r="BO46" s="22" t="str">
        <f t="shared" si="193"/>
        <v/>
      </c>
      <c r="BP46" s="116"/>
    </row>
    <row r="47" spans="2:68" ht="15" customHeight="1" thickBot="1">
      <c r="B47" s="38">
        <v>46</v>
      </c>
      <c r="C47" s="35">
        <v>43279.791666666664</v>
      </c>
      <c r="D47" s="38" t="s">
        <v>188</v>
      </c>
      <c r="E47" s="38" t="s">
        <v>79</v>
      </c>
      <c r="F47" s="158"/>
      <c r="G47" s="159">
        <f>C47+TimesInd/24</f>
        <v>43279.9375</v>
      </c>
      <c r="H47" s="148" t="str">
        <f t="shared" si="28"/>
        <v>Thu</v>
      </c>
      <c r="I47" s="149" t="str">
        <f t="shared" si="14"/>
        <v>England</v>
      </c>
      <c r="J47" s="149" t="str">
        <f t="shared" si="15"/>
        <v>Belgium</v>
      </c>
      <c r="K47" s="150"/>
      <c r="L47" s="151"/>
      <c r="M47" s="152">
        <f t="shared" si="16"/>
        <v>0</v>
      </c>
      <c r="N47" s="224"/>
      <c r="O47" s="225"/>
      <c r="P47" s="153"/>
      <c r="Q47" s="154"/>
      <c r="R47" s="155"/>
      <c r="S47" s="154"/>
      <c r="T47" s="154"/>
      <c r="U47" s="154"/>
      <c r="V47" s="154"/>
      <c r="W47" s="154"/>
      <c r="X47" s="154"/>
      <c r="Y47" s="154"/>
      <c r="Z47" s="178"/>
      <c r="AA47" s="179" t="str">
        <f t="shared" si="17"/>
        <v/>
      </c>
      <c r="AB47" s="179" t="str">
        <f t="shared" si="18"/>
        <v/>
      </c>
      <c r="AC47" s="179">
        <f t="shared" si="19"/>
        <v>0</v>
      </c>
      <c r="AD47" s="179">
        <f t="shared" si="20"/>
        <v>0</v>
      </c>
      <c r="AE47" s="179" t="e">
        <f t="shared" si="171"/>
        <v>#N/A</v>
      </c>
      <c r="AF47" s="179" t="e">
        <f t="shared" si="171"/>
        <v>#N/A</v>
      </c>
      <c r="AG47" s="179" t="e">
        <f t="shared" si="178"/>
        <v>#N/A</v>
      </c>
      <c r="AH47" s="179" t="e">
        <f t="shared" si="172"/>
        <v>#N/A</v>
      </c>
      <c r="AI47" s="179" t="e">
        <f t="shared" si="172"/>
        <v>#N/A</v>
      </c>
      <c r="AJ47" s="179" t="e">
        <f t="shared" si="179"/>
        <v>#N/A</v>
      </c>
      <c r="AK47" s="179" t="e">
        <f t="shared" si="174"/>
        <v>#N/A</v>
      </c>
      <c r="AL47" s="179" t="e">
        <f t="shared" si="174"/>
        <v>#N/A</v>
      </c>
      <c r="AM47" s="179" t="e">
        <f t="shared" si="180"/>
        <v>#N/A</v>
      </c>
      <c r="AN47" s="179" t="e">
        <f t="shared" si="148"/>
        <v>#N/A</v>
      </c>
      <c r="AO47" s="179" t="e">
        <f t="shared" si="149"/>
        <v>#N/A</v>
      </c>
      <c r="AP47" s="179" t="e">
        <f t="shared" si="181"/>
        <v>#N/A</v>
      </c>
      <c r="AQ47" s="179" t="e">
        <f t="shared" si="176"/>
        <v>#N/A</v>
      </c>
      <c r="AR47" s="179" t="e">
        <f t="shared" si="177"/>
        <v>#N/A</v>
      </c>
      <c r="AS47" s="211"/>
      <c r="AT47" s="212"/>
      <c r="AU47" s="212"/>
      <c r="AV47" s="212"/>
      <c r="AW47" s="212"/>
      <c r="AX47" s="212"/>
      <c r="AY47" s="212"/>
      <c r="AZ47" s="212"/>
      <c r="BA47" s="212"/>
      <c r="BB47" s="212"/>
      <c r="BC47" s="212"/>
      <c r="BD47" s="213"/>
      <c r="BE47" s="113">
        <f>SUM(BE43:BE46)</f>
        <v>16</v>
      </c>
      <c r="BF47" s="114">
        <f>MIN(AW43:AW46)</f>
        <v>0</v>
      </c>
      <c r="BG47" s="114">
        <f>MAX(AW43:AW46)</f>
        <v>0</v>
      </c>
      <c r="BH47" s="211"/>
      <c r="BI47" s="212"/>
      <c r="BJ47" s="212"/>
      <c r="BK47" s="212"/>
      <c r="BL47" s="125"/>
      <c r="BM47" s="125"/>
      <c r="BN47" s="125"/>
      <c r="BO47" s="125"/>
      <c r="BP47" s="161"/>
    </row>
    <row r="48" spans="2:68" ht="15" customHeight="1" thickBot="1">
      <c r="B48" s="38">
        <v>15</v>
      </c>
      <c r="C48" s="35">
        <v>43270.541666666664</v>
      </c>
      <c r="D48" s="38" t="s">
        <v>223</v>
      </c>
      <c r="E48" s="38" t="s">
        <v>225</v>
      </c>
      <c r="F48" s="117"/>
      <c r="G48" s="157">
        <f>C48+TimesInd/24</f>
        <v>43270.6875</v>
      </c>
      <c r="H48" s="136" t="str">
        <f t="shared" si="28"/>
        <v>Tue</v>
      </c>
      <c r="I48" s="137" t="str">
        <f t="shared" si="14"/>
        <v>Colombia</v>
      </c>
      <c r="J48" s="137" t="str">
        <f t="shared" si="15"/>
        <v>Japan</v>
      </c>
      <c r="K48" s="138"/>
      <c r="L48" s="139"/>
      <c r="M48" s="140">
        <f t="shared" si="16"/>
        <v>0</v>
      </c>
      <c r="N48" s="220" t="s">
        <v>233</v>
      </c>
      <c r="O48" s="221"/>
      <c r="P48" s="141"/>
      <c r="Q48" s="142"/>
      <c r="R48" s="143"/>
      <c r="S48" s="142"/>
      <c r="T48" s="142"/>
      <c r="U48" s="142"/>
      <c r="V48" s="142"/>
      <c r="W48" s="142"/>
      <c r="X48" s="142"/>
      <c r="Y48" s="142"/>
      <c r="Z48" s="174"/>
      <c r="AA48" s="175" t="str">
        <f t="shared" si="17"/>
        <v/>
      </c>
      <c r="AB48" s="175" t="str">
        <f t="shared" si="18"/>
        <v/>
      </c>
      <c r="AC48" s="175">
        <f t="shared" si="19"/>
        <v>0</v>
      </c>
      <c r="AD48" s="175">
        <f t="shared" si="20"/>
        <v>0</v>
      </c>
      <c r="AE48" s="175" t="e">
        <f t="shared" ref="AE48:AF53" si="194">VLOOKUP(AA48,$AT$48:$BF$52,13,FALSE)</f>
        <v>#N/A</v>
      </c>
      <c r="AF48" s="175" t="e">
        <f t="shared" si="194"/>
        <v>#N/A</v>
      </c>
      <c r="AG48" s="175" t="e">
        <f t="shared" ref="AG48" si="195">IF(SUM(AE48:AF48)=2,1,0)</f>
        <v>#N/A</v>
      </c>
      <c r="AH48" s="175" t="e">
        <f t="shared" ref="AH48:AI53" si="196">IF(VLOOKUP(AA48,$AT$49:$BE$52,4,FALSE)=$BF$53,1,0)</f>
        <v>#N/A</v>
      </c>
      <c r="AI48" s="175" t="e">
        <f t="shared" si="196"/>
        <v>#N/A</v>
      </c>
      <c r="AJ48" s="175" t="e">
        <f t="shared" ref="AJ48" si="197">IF(SUM(AH48:AI48)=2,1,0)</f>
        <v>#N/A</v>
      </c>
      <c r="AK48" s="175" t="e">
        <f t="shared" ref="AK48:AL53" si="198">IF(VLOOKUP(AA48,$AT$49:$BE$52,4,FALSE)=$BG$53,1,0)</f>
        <v>#N/A</v>
      </c>
      <c r="AL48" s="175" t="e">
        <f t="shared" si="198"/>
        <v>#N/A</v>
      </c>
      <c r="AM48" s="175" t="e">
        <f t="shared" ref="AM48" si="199">IF(SUM(AK48:AL48)=2,1,0)</f>
        <v>#N/A</v>
      </c>
      <c r="AN48" s="175" t="e">
        <f t="shared" si="148"/>
        <v>#N/A</v>
      </c>
      <c r="AO48" s="175" t="e">
        <f t="shared" si="149"/>
        <v>#N/A</v>
      </c>
      <c r="AP48" s="175" t="e">
        <f t="shared" ref="AP48" si="200">AN48</f>
        <v>#N/A</v>
      </c>
      <c r="AQ48" s="175" t="e">
        <f t="shared" ref="AQ48:AQ53" si="201">IF(IndH=8,AC48*AJ48+AC48*AM48,AG48)</f>
        <v>#N/A</v>
      </c>
      <c r="AR48" s="175" t="e">
        <f t="shared" ref="AR48:AR53" si="202">IF(IndH=8,AD48*AJ48+AD48*AM48,AG48)</f>
        <v>#N/A</v>
      </c>
      <c r="AS48" s="216" t="s">
        <v>159</v>
      </c>
      <c r="AT48" s="217" t="s">
        <v>3</v>
      </c>
      <c r="AU48" s="217" t="s">
        <v>172</v>
      </c>
      <c r="AV48" s="217" t="s">
        <v>86</v>
      </c>
      <c r="AW48" s="217" t="s">
        <v>5</v>
      </c>
      <c r="AX48" s="217" t="s">
        <v>187</v>
      </c>
      <c r="AY48" s="217" t="s">
        <v>180</v>
      </c>
      <c r="AZ48" s="217" t="s">
        <v>2</v>
      </c>
      <c r="BA48" s="217" t="s">
        <v>0</v>
      </c>
      <c r="BB48" s="217" t="s">
        <v>1</v>
      </c>
      <c r="BC48" s="217" t="s">
        <v>78</v>
      </c>
      <c r="BD48" s="218" t="s">
        <v>87</v>
      </c>
      <c r="BE48" s="144" t="s">
        <v>185</v>
      </c>
      <c r="BF48" s="145" t="s">
        <v>186</v>
      </c>
      <c r="BG48" s="145" t="s">
        <v>5</v>
      </c>
      <c r="BH48" s="216" t="s">
        <v>179</v>
      </c>
      <c r="BI48" s="217" t="s">
        <v>0</v>
      </c>
      <c r="BJ48" s="217" t="s">
        <v>1</v>
      </c>
      <c r="BK48" s="217" t="s">
        <v>184</v>
      </c>
      <c r="BL48" s="146"/>
      <c r="BM48" s="146"/>
      <c r="BN48" s="146"/>
      <c r="BO48" s="146"/>
      <c r="BP48" s="147"/>
    </row>
    <row r="49" spans="2:68" ht="15" customHeight="1">
      <c r="B49" s="38">
        <v>16</v>
      </c>
      <c r="C49" s="35">
        <v>43270.666666666664</v>
      </c>
      <c r="D49" s="38" t="s">
        <v>222</v>
      </c>
      <c r="E49" s="38" t="s">
        <v>224</v>
      </c>
      <c r="F49" s="119"/>
      <c r="G49" s="74">
        <f>C49+TimesInd/24</f>
        <v>43270.8125</v>
      </c>
      <c r="H49" s="75" t="str">
        <f t="shared" si="28"/>
        <v>Tue</v>
      </c>
      <c r="I49" s="76" t="str">
        <f t="shared" si="14"/>
        <v>Poland</v>
      </c>
      <c r="J49" s="76" t="str">
        <f t="shared" si="15"/>
        <v>Senegal</v>
      </c>
      <c r="K49" s="132"/>
      <c r="L49" s="133"/>
      <c r="M49" s="83">
        <f t="shared" si="16"/>
        <v>0</v>
      </c>
      <c r="N49" s="222"/>
      <c r="O49" s="223"/>
      <c r="P49" s="107" t="s">
        <v>222</v>
      </c>
      <c r="Q49" s="53">
        <v>1</v>
      </c>
      <c r="R49" s="54" t="str">
        <f>VLOOKUP(Q49,$AS$49:$AZ$52,2,FALSE)</f>
        <v>Japan</v>
      </c>
      <c r="S49" s="53">
        <f>VLOOKUP(R49,$AT$49:$BB$52,3,FALSE)</f>
        <v>0</v>
      </c>
      <c r="T49" s="53">
        <f>VLOOKUP(R49,$AT$49:$BB$52,4,FALSE)</f>
        <v>0</v>
      </c>
      <c r="U49" s="53">
        <f>VLOOKUP(R49,$AT$49:$BB$52,8,FALSE)</f>
        <v>0</v>
      </c>
      <c r="V49" s="53">
        <f>VLOOKUP(R49,$AT$49:$BB$52,9,FALSE)</f>
        <v>0</v>
      </c>
      <c r="W49" s="53">
        <f>U49-V49</f>
        <v>0</v>
      </c>
      <c r="X49" s="53">
        <f>VLOOKUP(R49,$AT$49:$BC$52,10,FALSE)</f>
        <v>31</v>
      </c>
      <c r="Y49" s="130"/>
      <c r="Z49" s="176">
        <f>VLOOKUP(R49,$AT$49:$BE$52,12,FALSE)</f>
        <v>4</v>
      </c>
      <c r="AA49" s="177" t="str">
        <f t="shared" si="17"/>
        <v/>
      </c>
      <c r="AB49" s="177" t="str">
        <f t="shared" si="18"/>
        <v/>
      </c>
      <c r="AC49" s="177">
        <f t="shared" si="19"/>
        <v>0</v>
      </c>
      <c r="AD49" s="177">
        <f t="shared" si="20"/>
        <v>0</v>
      </c>
      <c r="AE49" s="177" t="e">
        <f t="shared" si="194"/>
        <v>#N/A</v>
      </c>
      <c r="AF49" s="177" t="e">
        <f t="shared" si="194"/>
        <v>#N/A</v>
      </c>
      <c r="AG49" s="177" t="e">
        <f t="shared" ref="AG49:AG53" si="203">IF(SUM(AE49:AF49)=2,1,0)</f>
        <v>#N/A</v>
      </c>
      <c r="AH49" s="177" t="e">
        <f t="shared" si="196"/>
        <v>#N/A</v>
      </c>
      <c r="AI49" s="177" t="e">
        <f t="shared" si="196"/>
        <v>#N/A</v>
      </c>
      <c r="AJ49" s="177" t="e">
        <f t="shared" ref="AJ49:AJ53" si="204">IF(SUM(AH49:AI49)=2,1,0)</f>
        <v>#N/A</v>
      </c>
      <c r="AK49" s="177" t="e">
        <f t="shared" si="198"/>
        <v>#N/A</v>
      </c>
      <c r="AL49" s="177" t="e">
        <f t="shared" si="198"/>
        <v>#N/A</v>
      </c>
      <c r="AM49" s="177" t="e">
        <f t="shared" ref="AM49:AM53" si="205">IF(SUM(AK49:AL49)=2,1,0)</f>
        <v>#N/A</v>
      </c>
      <c r="AN49" s="177" t="e">
        <f t="shared" si="148"/>
        <v>#N/A</v>
      </c>
      <c r="AO49" s="177" t="e">
        <f t="shared" si="149"/>
        <v>#N/A</v>
      </c>
      <c r="AP49" s="177" t="e">
        <f t="shared" ref="AP49:AP53" si="206">AN49</f>
        <v>#N/A</v>
      </c>
      <c r="AQ49" s="177" t="e">
        <f t="shared" si="201"/>
        <v>#N/A</v>
      </c>
      <c r="AR49" s="177" t="e">
        <f t="shared" si="202"/>
        <v>#N/A</v>
      </c>
      <c r="AS49" s="173">
        <f>RANK(BD49,$BD$49:$BD$52)</f>
        <v>3</v>
      </c>
      <c r="AT49" s="173" t="str">
        <f>VLOOKUP("H1",TeamTbl,2,FALSE)</f>
        <v>Poland</v>
      </c>
      <c r="AU49" s="23" t="s">
        <v>233</v>
      </c>
      <c r="AV49" s="24">
        <f>COUNTIF(AA$6:AB$53,AT49)</f>
        <v>0</v>
      </c>
      <c r="AW49" s="23">
        <f>SUMIF($AA$6:$AB$53,AT49,$AC$6:$AD$53)</f>
        <v>0</v>
      </c>
      <c r="AX49" s="23">
        <f t="shared" ref="AX49:AX52" si="207">AW49*BF49</f>
        <v>0</v>
      </c>
      <c r="AY49" s="25">
        <f>BK49</f>
        <v>11.1</v>
      </c>
      <c r="AZ49" s="23">
        <f>BA49-BB49</f>
        <v>0</v>
      </c>
      <c r="BA49" s="23">
        <f>SUMIF(I$6:J$53,AT49,K$6:L$53)</f>
        <v>0</v>
      </c>
      <c r="BB49" s="23">
        <f>SUMIF(I$6:J$53,AT49,L$6:M$53)</f>
        <v>0</v>
      </c>
      <c r="BC49" s="23">
        <f>VLOOKUP(AT49,Tbl,4,FALSE)</f>
        <v>63</v>
      </c>
      <c r="BD49" s="26">
        <f>RANK(AW49,$AW$49:$AW$52,1)*1000+RANK(AY49,$AY$49:$AY$52,1)+RANK(AZ49,$AZ$49:$AZ$52,1)*100+RANK(BA49,$BA$49:$BA$52,1)*10+RANK(BC49,$BC$49:$BC$52,0)*0.01</f>
        <v>1111.02</v>
      </c>
      <c r="BE49" s="23">
        <f>COUNTIF($AW$49:$AW$52,AW49)</f>
        <v>4</v>
      </c>
      <c r="BF49" s="24">
        <f>IF(BE49=1,0,1)</f>
        <v>1</v>
      </c>
      <c r="BG49" s="23">
        <f>SUMIF($AA$6:$AB$53,AT49,$AQ$6:$AR$53)</f>
        <v>0</v>
      </c>
      <c r="BH49" s="23">
        <f>BI49-BJ49</f>
        <v>0</v>
      </c>
      <c r="BI49" s="23">
        <f>SUMIFS($K$6:$L$53,$AA$6:$AB$53,AT49,$AN$6:$AO$53,"&gt;0")</f>
        <v>0</v>
      </c>
      <c r="BJ49" s="23">
        <f>SUMIFS($L$6:$M$41,$AA$6:$AB$41,AT49,$AN$6:$AO$41,"&gt;0")</f>
        <v>0</v>
      </c>
      <c r="BK49" s="25">
        <f>RANK(BG49,$BG$49:$BG$52,1)*10+RANK(BH49,$BH$49:$BH$52,1)+RANK(BI49,$BI$49:$BI$52,1)*0.1</f>
        <v>11.1</v>
      </c>
      <c r="BL49" s="22" t="str">
        <f t="shared" ref="BL49:BO52" si="208">IF(VLOOKUP($R49,$AT$49:$BJ$52,5,FALSE)&gt;0,VLOOKUP($R49,$AT$49:$BJ$52,14,FALSE),"")</f>
        <v/>
      </c>
      <c r="BM49" s="22" t="str">
        <f t="shared" si="208"/>
        <v/>
      </c>
      <c r="BN49" s="22" t="str">
        <f t="shared" si="208"/>
        <v/>
      </c>
      <c r="BO49" s="22" t="str">
        <f t="shared" si="208"/>
        <v/>
      </c>
      <c r="BP49" s="116"/>
    </row>
    <row r="50" spans="2:68" ht="15" customHeight="1">
      <c r="B50" s="38">
        <v>32</v>
      </c>
      <c r="C50" s="35">
        <v>43275.666666666664</v>
      </c>
      <c r="D50" s="38" t="s">
        <v>225</v>
      </c>
      <c r="E50" s="38" t="s">
        <v>224</v>
      </c>
      <c r="F50" s="119"/>
      <c r="G50" s="74">
        <f>C50+TimesInd/24</f>
        <v>43275.8125</v>
      </c>
      <c r="H50" s="75" t="str">
        <f t="shared" si="28"/>
        <v>Sun</v>
      </c>
      <c r="I50" s="76" t="str">
        <f t="shared" si="14"/>
        <v>Japan</v>
      </c>
      <c r="J50" s="76" t="str">
        <f t="shared" si="15"/>
        <v>Senegal</v>
      </c>
      <c r="K50" s="132"/>
      <c r="L50" s="133"/>
      <c r="M50" s="83">
        <f t="shared" si="16"/>
        <v>0</v>
      </c>
      <c r="N50" s="222"/>
      <c r="O50" s="223"/>
      <c r="P50" s="107" t="s">
        <v>223</v>
      </c>
      <c r="Q50" s="53">
        <v>2</v>
      </c>
      <c r="R50" s="54" t="str">
        <f>VLOOKUP(Q50,$AS$49:$AZ$52,2,FALSE)</f>
        <v>Senegal</v>
      </c>
      <c r="S50" s="53">
        <f>VLOOKUP(R50,$AT$49:$BB$52,3,FALSE)</f>
        <v>0</v>
      </c>
      <c r="T50" s="53">
        <f>VLOOKUP(R50,$AT$49:$BB$52,4,FALSE)</f>
        <v>0</v>
      </c>
      <c r="U50" s="53">
        <f>VLOOKUP(R50,$AT$49:$BB$52,8,FALSE)</f>
        <v>0</v>
      </c>
      <c r="V50" s="53">
        <f>VLOOKUP(R50,$AT$49:$BB$52,9,FALSE)</f>
        <v>0</v>
      </c>
      <c r="W50" s="53">
        <f t="shared" ref="W50:W52" si="209">U50-V50</f>
        <v>0</v>
      </c>
      <c r="X50" s="53">
        <f>VLOOKUP(R50,$AT$49:$BC$52,10,FALSE)</f>
        <v>42</v>
      </c>
      <c r="Y50" s="130"/>
      <c r="Z50" s="176">
        <f>VLOOKUP(R50,$AT$49:$BE$52,12,FALSE)</f>
        <v>4</v>
      </c>
      <c r="AA50" s="177" t="str">
        <f t="shared" si="17"/>
        <v/>
      </c>
      <c r="AB50" s="177" t="str">
        <f t="shared" si="18"/>
        <v/>
      </c>
      <c r="AC50" s="177">
        <f t="shared" si="19"/>
        <v>0</v>
      </c>
      <c r="AD50" s="177">
        <f t="shared" si="20"/>
        <v>0</v>
      </c>
      <c r="AE50" s="177" t="e">
        <f t="shared" si="194"/>
        <v>#N/A</v>
      </c>
      <c r="AF50" s="177" t="e">
        <f t="shared" si="194"/>
        <v>#N/A</v>
      </c>
      <c r="AG50" s="177" t="e">
        <f t="shared" si="203"/>
        <v>#N/A</v>
      </c>
      <c r="AH50" s="177" t="e">
        <f t="shared" si="196"/>
        <v>#N/A</v>
      </c>
      <c r="AI50" s="177" t="e">
        <f t="shared" si="196"/>
        <v>#N/A</v>
      </c>
      <c r="AJ50" s="177" t="e">
        <f t="shared" si="204"/>
        <v>#N/A</v>
      </c>
      <c r="AK50" s="177" t="e">
        <f t="shared" si="198"/>
        <v>#N/A</v>
      </c>
      <c r="AL50" s="177" t="e">
        <f t="shared" si="198"/>
        <v>#N/A</v>
      </c>
      <c r="AM50" s="177" t="e">
        <f t="shared" si="205"/>
        <v>#N/A</v>
      </c>
      <c r="AN50" s="177" t="e">
        <f t="shared" si="148"/>
        <v>#N/A</v>
      </c>
      <c r="AO50" s="177" t="e">
        <f t="shared" si="149"/>
        <v>#N/A</v>
      </c>
      <c r="AP50" s="177" t="e">
        <f t="shared" si="206"/>
        <v>#N/A</v>
      </c>
      <c r="AQ50" s="177" t="e">
        <f t="shared" si="201"/>
        <v>#N/A</v>
      </c>
      <c r="AR50" s="177" t="e">
        <f t="shared" si="202"/>
        <v>#N/A</v>
      </c>
      <c r="AS50" s="173">
        <f t="shared" ref="AS50:AS52" si="210">RANK(BD50,$BD$49:$BD$52)</f>
        <v>4</v>
      </c>
      <c r="AT50" s="173" t="str">
        <f>VLOOKUP("H2",TeamTbl,2,FALSE)</f>
        <v>Colombia</v>
      </c>
      <c r="AU50" s="23" t="s">
        <v>233</v>
      </c>
      <c r="AV50" s="24">
        <f>COUNTIF(AA$6:AB$53,AT50)</f>
        <v>0</v>
      </c>
      <c r="AW50" s="23">
        <f>SUMIF($AA$6:$AB$53,AT50,$AC$6:$AD$53)</f>
        <v>0</v>
      </c>
      <c r="AX50" s="23">
        <f t="shared" si="207"/>
        <v>0</v>
      </c>
      <c r="AY50" s="25">
        <f t="shared" ref="AY50:AY52" si="211">BK50</f>
        <v>11.1</v>
      </c>
      <c r="AZ50" s="23">
        <f t="shared" ref="AZ50:AZ52" si="212">BA50-BB50</f>
        <v>0</v>
      </c>
      <c r="BA50" s="23">
        <f t="shared" ref="BA50:BA52" si="213">SUMIF(I$6:J$53,AT50,K$6:L$53)</f>
        <v>0</v>
      </c>
      <c r="BB50" s="23">
        <f t="shared" ref="BB50:BB52" si="214">SUMIF(I$6:J$53,AT50,L$6:M$53)</f>
        <v>0</v>
      </c>
      <c r="BC50" s="23">
        <f>VLOOKUP(AT50,Tbl,4,FALSE)</f>
        <v>77</v>
      </c>
      <c r="BD50" s="26">
        <f t="shared" ref="BD50:BD52" si="215">RANK(AW50,$AW$49:$AW$52,1)*1000+RANK(AY50,$AY$49:$AY$52,1)+RANK(AZ50,$AZ$49:$AZ$52,1)*100+RANK(BA50,$BA$49:$BA$52,1)*10+RANK(BC50,$BC$49:$BC$52,0)*0.01</f>
        <v>1111.01</v>
      </c>
      <c r="BE50" s="23">
        <f>COUNTIF($AW$49:$AW$52,AW50)</f>
        <v>4</v>
      </c>
      <c r="BF50" s="24">
        <f t="shared" ref="BF50:BF52" si="216">IF(BE50=1,0,1)</f>
        <v>1</v>
      </c>
      <c r="BG50" s="23">
        <f>SUMIF($AA$6:$AB$53,AT50,$AQ$6:$AR$53)</f>
        <v>0</v>
      </c>
      <c r="BH50" s="23">
        <f t="shared" ref="BH50:BH52" si="217">BI50-BJ50</f>
        <v>0</v>
      </c>
      <c r="BI50" s="23">
        <f>SUMIFS($K$6:$L$53,$AA$6:$AB$53,AT50,$AN$6:$AO$53,"&gt;0")</f>
        <v>0</v>
      </c>
      <c r="BJ50" s="23">
        <f>SUMIFS($L$6:$M$41,$AA$6:$AB$41,AT50,$AN$6:$AO$41,"&gt;0")</f>
        <v>0</v>
      </c>
      <c r="BK50" s="25">
        <f>RANK(BG50,$BG$49:$BG$52,1)*10+RANK(BH50,$BH$49:$BH$52,1)+RANK(BI50,$BI$49:$BI$52,1)*0.1</f>
        <v>11.1</v>
      </c>
      <c r="BL50" s="22" t="str">
        <f t="shared" si="208"/>
        <v/>
      </c>
      <c r="BM50" s="22" t="str">
        <f t="shared" si="208"/>
        <v/>
      </c>
      <c r="BN50" s="22" t="str">
        <f t="shared" si="208"/>
        <v/>
      </c>
      <c r="BO50" s="22" t="str">
        <f t="shared" si="208"/>
        <v/>
      </c>
      <c r="BP50" s="116"/>
    </row>
    <row r="51" spans="2:68" ht="15" customHeight="1">
      <c r="B51" s="38">
        <v>31</v>
      </c>
      <c r="C51" s="35">
        <v>43275.791666666664</v>
      </c>
      <c r="D51" s="38" t="s">
        <v>222</v>
      </c>
      <c r="E51" s="38" t="s">
        <v>223</v>
      </c>
      <c r="F51" s="119"/>
      <c r="G51" s="74">
        <f>C51+TimesInd/24</f>
        <v>43275.9375</v>
      </c>
      <c r="H51" s="75" t="str">
        <f t="shared" si="28"/>
        <v>Sun</v>
      </c>
      <c r="I51" s="76" t="str">
        <f t="shared" si="14"/>
        <v>Poland</v>
      </c>
      <c r="J51" s="76" t="str">
        <f t="shared" si="15"/>
        <v>Colombia</v>
      </c>
      <c r="K51" s="132"/>
      <c r="L51" s="133"/>
      <c r="M51" s="83">
        <f t="shared" si="16"/>
        <v>0</v>
      </c>
      <c r="N51" s="222"/>
      <c r="O51" s="223"/>
      <c r="P51" s="107" t="s">
        <v>224</v>
      </c>
      <c r="Q51" s="49">
        <v>3</v>
      </c>
      <c r="R51" s="50" t="str">
        <f>VLOOKUP(Q51,$AS$49:$AZ$52,2,FALSE)</f>
        <v>Poland</v>
      </c>
      <c r="S51" s="49">
        <f>VLOOKUP(R51,$AT$49:$BB$52,3,FALSE)</f>
        <v>0</v>
      </c>
      <c r="T51" s="49">
        <f>VLOOKUP(R51,$AT$49:$BB$52,4,FALSE)</f>
        <v>0</v>
      </c>
      <c r="U51" s="49">
        <f>VLOOKUP(R51,$AT$49:$BB$52,8,FALSE)</f>
        <v>0</v>
      </c>
      <c r="V51" s="49">
        <f>VLOOKUP(R51,$AT$49:$BB$52,9,FALSE)</f>
        <v>0</v>
      </c>
      <c r="W51" s="49">
        <f t="shared" si="209"/>
        <v>0</v>
      </c>
      <c r="X51" s="49">
        <f>VLOOKUP(R51,$AT$49:$BC$52,10,FALSE)</f>
        <v>63</v>
      </c>
      <c r="Y51" s="130"/>
      <c r="Z51" s="176">
        <f>VLOOKUP(R51,$AT$49:$BE$52,12,FALSE)</f>
        <v>4</v>
      </c>
      <c r="AA51" s="177" t="str">
        <f t="shared" si="17"/>
        <v/>
      </c>
      <c r="AB51" s="177" t="str">
        <f t="shared" si="18"/>
        <v/>
      </c>
      <c r="AC51" s="177">
        <f t="shared" si="19"/>
        <v>0</v>
      </c>
      <c r="AD51" s="177">
        <f t="shared" si="20"/>
        <v>0</v>
      </c>
      <c r="AE51" s="177" t="e">
        <f t="shared" si="194"/>
        <v>#N/A</v>
      </c>
      <c r="AF51" s="177" t="e">
        <f t="shared" si="194"/>
        <v>#N/A</v>
      </c>
      <c r="AG51" s="177" t="e">
        <f t="shared" si="203"/>
        <v>#N/A</v>
      </c>
      <c r="AH51" s="177" t="e">
        <f t="shared" si="196"/>
        <v>#N/A</v>
      </c>
      <c r="AI51" s="177" t="e">
        <f t="shared" si="196"/>
        <v>#N/A</v>
      </c>
      <c r="AJ51" s="177" t="e">
        <f t="shared" si="204"/>
        <v>#N/A</v>
      </c>
      <c r="AK51" s="177" t="e">
        <f t="shared" si="198"/>
        <v>#N/A</v>
      </c>
      <c r="AL51" s="177" t="e">
        <f t="shared" si="198"/>
        <v>#N/A</v>
      </c>
      <c r="AM51" s="177" t="e">
        <f t="shared" si="205"/>
        <v>#N/A</v>
      </c>
      <c r="AN51" s="177" t="e">
        <f t="shared" si="148"/>
        <v>#N/A</v>
      </c>
      <c r="AO51" s="177" t="e">
        <f t="shared" si="149"/>
        <v>#N/A</v>
      </c>
      <c r="AP51" s="177" t="e">
        <f t="shared" si="206"/>
        <v>#N/A</v>
      </c>
      <c r="AQ51" s="177" t="e">
        <f t="shared" si="201"/>
        <v>#N/A</v>
      </c>
      <c r="AR51" s="177" t="e">
        <f t="shared" si="202"/>
        <v>#N/A</v>
      </c>
      <c r="AS51" s="173">
        <f t="shared" si="210"/>
        <v>2</v>
      </c>
      <c r="AT51" s="173" t="str">
        <f>VLOOKUP("H3",TeamTbl,2,FALSE)</f>
        <v>Senegal</v>
      </c>
      <c r="AU51" s="23" t="s">
        <v>233</v>
      </c>
      <c r="AV51" s="24">
        <f>COUNTIF(AA$6:AB$53,AT51)</f>
        <v>0</v>
      </c>
      <c r="AW51" s="23">
        <f>SUMIF($AA$6:$AB$53,AT51,$AC$6:$AD$53)</f>
        <v>0</v>
      </c>
      <c r="AX51" s="23">
        <f t="shared" si="207"/>
        <v>0</v>
      </c>
      <c r="AY51" s="25">
        <f t="shared" si="211"/>
        <v>11.1</v>
      </c>
      <c r="AZ51" s="23">
        <f t="shared" si="212"/>
        <v>0</v>
      </c>
      <c r="BA51" s="23">
        <f t="shared" si="213"/>
        <v>0</v>
      </c>
      <c r="BB51" s="23">
        <f t="shared" si="214"/>
        <v>0</v>
      </c>
      <c r="BC51" s="23">
        <f>VLOOKUP(AT51,Tbl,4,FALSE)</f>
        <v>42</v>
      </c>
      <c r="BD51" s="26">
        <f t="shared" si="215"/>
        <v>1111.03</v>
      </c>
      <c r="BE51" s="23">
        <f>COUNTIF($AW$49:$AW$52,AW51)</f>
        <v>4</v>
      </c>
      <c r="BF51" s="24">
        <f t="shared" si="216"/>
        <v>1</v>
      </c>
      <c r="BG51" s="23">
        <f>SUMIF($AA$6:$AB$53,AT51,$AQ$6:$AR$53)</f>
        <v>0</v>
      </c>
      <c r="BH51" s="23">
        <f t="shared" si="217"/>
        <v>0</v>
      </c>
      <c r="BI51" s="23">
        <f>SUMIFS($K$6:$L$53,$AA$6:$AB$53,AT51,$AN$6:$AO$53,"&gt;0")</f>
        <v>0</v>
      </c>
      <c r="BJ51" s="23">
        <f>SUMIFS($L$6:$M$41,$AA$6:$AB$41,AT51,$AN$6:$AO$41,"&gt;0")</f>
        <v>0</v>
      </c>
      <c r="BK51" s="25">
        <f>RANK(BG51,$BG$49:$BG$52,1)*10+RANK(BH51,$BH$49:$BH$52,1)+RANK(BI51,$BI$49:$BI$52,1)*0.1</f>
        <v>11.1</v>
      </c>
      <c r="BL51" s="22" t="str">
        <f t="shared" si="208"/>
        <v/>
      </c>
      <c r="BM51" s="22" t="str">
        <f t="shared" si="208"/>
        <v/>
      </c>
      <c r="BN51" s="22" t="str">
        <f t="shared" si="208"/>
        <v/>
      </c>
      <c r="BO51" s="22" t="str">
        <f t="shared" si="208"/>
        <v/>
      </c>
      <c r="BP51" s="116"/>
    </row>
    <row r="52" spans="2:68" ht="15" customHeight="1">
      <c r="B52" s="38">
        <v>47</v>
      </c>
      <c r="C52" s="35">
        <v>43279.625</v>
      </c>
      <c r="D52" s="38" t="s">
        <v>225</v>
      </c>
      <c r="E52" s="38" t="s">
        <v>222</v>
      </c>
      <c r="F52" s="119"/>
      <c r="G52" s="74">
        <f>C52+TimesInd/24</f>
        <v>43279.770833333336</v>
      </c>
      <c r="H52" s="75" t="str">
        <f t="shared" si="28"/>
        <v>Thu</v>
      </c>
      <c r="I52" s="76" t="str">
        <f t="shared" si="14"/>
        <v>Japan</v>
      </c>
      <c r="J52" s="76" t="str">
        <f t="shared" si="15"/>
        <v>Poland</v>
      </c>
      <c r="K52" s="132"/>
      <c r="L52" s="133"/>
      <c r="M52" s="83">
        <f t="shared" si="16"/>
        <v>0</v>
      </c>
      <c r="N52" s="222"/>
      <c r="O52" s="223"/>
      <c r="P52" s="107" t="s">
        <v>225</v>
      </c>
      <c r="Q52" s="49">
        <v>4</v>
      </c>
      <c r="R52" s="50" t="str">
        <f>VLOOKUP(Q52,$AS$49:$AZ$52,2,FALSE)</f>
        <v>Colombia</v>
      </c>
      <c r="S52" s="49">
        <f>VLOOKUP(R52,$AT$49:$BB$52,3,FALSE)</f>
        <v>0</v>
      </c>
      <c r="T52" s="49">
        <f>VLOOKUP(R52,$AT$49:$BB$52,4,FALSE)</f>
        <v>0</v>
      </c>
      <c r="U52" s="49">
        <f>VLOOKUP(R52,$AT$49:$BB$52,8,FALSE)</f>
        <v>0</v>
      </c>
      <c r="V52" s="49">
        <f>VLOOKUP(R52,$AT$49:$BB$52,9,FALSE)</f>
        <v>0</v>
      </c>
      <c r="W52" s="49">
        <f t="shared" si="209"/>
        <v>0</v>
      </c>
      <c r="X52" s="49">
        <f>VLOOKUP(R52,$AT$49:$BC$52,10,FALSE)</f>
        <v>77</v>
      </c>
      <c r="Y52" s="130"/>
      <c r="Z52" s="176">
        <f>VLOOKUP(R52,$AT$49:$BE$52,12,FALSE)</f>
        <v>4</v>
      </c>
      <c r="AA52" s="177" t="str">
        <f t="shared" si="17"/>
        <v/>
      </c>
      <c r="AB52" s="177" t="str">
        <f t="shared" si="18"/>
        <v/>
      </c>
      <c r="AC52" s="177">
        <f t="shared" si="19"/>
        <v>0</v>
      </c>
      <c r="AD52" s="177">
        <f t="shared" si="20"/>
        <v>0</v>
      </c>
      <c r="AE52" s="177" t="e">
        <f t="shared" si="194"/>
        <v>#N/A</v>
      </c>
      <c r="AF52" s="177" t="e">
        <f t="shared" si="194"/>
        <v>#N/A</v>
      </c>
      <c r="AG52" s="177" t="e">
        <f t="shared" si="203"/>
        <v>#N/A</v>
      </c>
      <c r="AH52" s="177" t="e">
        <f t="shared" si="196"/>
        <v>#N/A</v>
      </c>
      <c r="AI52" s="177" t="e">
        <f t="shared" si="196"/>
        <v>#N/A</v>
      </c>
      <c r="AJ52" s="177" t="e">
        <f t="shared" si="204"/>
        <v>#N/A</v>
      </c>
      <c r="AK52" s="177" t="e">
        <f t="shared" si="198"/>
        <v>#N/A</v>
      </c>
      <c r="AL52" s="177" t="e">
        <f t="shared" si="198"/>
        <v>#N/A</v>
      </c>
      <c r="AM52" s="177" t="e">
        <f t="shared" si="205"/>
        <v>#N/A</v>
      </c>
      <c r="AN52" s="177" t="e">
        <f t="shared" si="148"/>
        <v>#N/A</v>
      </c>
      <c r="AO52" s="177" t="e">
        <f t="shared" si="149"/>
        <v>#N/A</v>
      </c>
      <c r="AP52" s="177" t="e">
        <f t="shared" si="206"/>
        <v>#N/A</v>
      </c>
      <c r="AQ52" s="177" t="e">
        <f t="shared" si="201"/>
        <v>#N/A</v>
      </c>
      <c r="AR52" s="177" t="e">
        <f t="shared" si="202"/>
        <v>#N/A</v>
      </c>
      <c r="AS52" s="173">
        <f t="shared" si="210"/>
        <v>1</v>
      </c>
      <c r="AT52" s="173" t="str">
        <f>VLOOKUP("H4",TeamTbl,2,FALSE)</f>
        <v>Japan</v>
      </c>
      <c r="AU52" s="23" t="s">
        <v>233</v>
      </c>
      <c r="AV52" s="24">
        <f>COUNTIF(AA$6:AB$53,AT52)</f>
        <v>0</v>
      </c>
      <c r="AW52" s="23">
        <f>SUMIF($AA$6:$AB$53,AT52,$AC$6:$AD$53)</f>
        <v>0</v>
      </c>
      <c r="AX52" s="23">
        <f t="shared" si="207"/>
        <v>0</v>
      </c>
      <c r="AY52" s="25">
        <f t="shared" si="211"/>
        <v>11.1</v>
      </c>
      <c r="AZ52" s="23">
        <f t="shared" si="212"/>
        <v>0</v>
      </c>
      <c r="BA52" s="23">
        <f t="shared" si="213"/>
        <v>0</v>
      </c>
      <c r="BB52" s="23">
        <f t="shared" si="214"/>
        <v>0</v>
      </c>
      <c r="BC52" s="23">
        <f>VLOOKUP(AT52,Tbl,4,FALSE)</f>
        <v>31</v>
      </c>
      <c r="BD52" s="26">
        <f t="shared" si="215"/>
        <v>1111.04</v>
      </c>
      <c r="BE52" s="23">
        <f>COUNTIF($AW$49:$AW$52,AW52)</f>
        <v>4</v>
      </c>
      <c r="BF52" s="24">
        <f t="shared" si="216"/>
        <v>1</v>
      </c>
      <c r="BG52" s="23">
        <f>SUMIF($AA$6:$AB$53,AT52,$AQ$6:$AR$53)</f>
        <v>0</v>
      </c>
      <c r="BH52" s="23">
        <f t="shared" si="217"/>
        <v>0</v>
      </c>
      <c r="BI52" s="23">
        <f>SUMIFS($K$6:$L$53,$AA$6:$AB$53,AT52,$AN$6:$AO$53,"&gt;0")</f>
        <v>0</v>
      </c>
      <c r="BJ52" s="23">
        <f>SUMIFS($L$6:$M$41,$AA$6:$AB$41,AT52,$AN$6:$AO$41,"&gt;0")</f>
        <v>0</v>
      </c>
      <c r="BK52" s="25">
        <f>RANK(BG52,$BG$49:$BG$52,1)*10+RANK(BH52,$BH$49:$BH$52,1)+RANK(BI52,$BI$49:$BI$52,1)*0.1</f>
        <v>11.1</v>
      </c>
      <c r="BL52" s="22" t="str">
        <f t="shared" si="208"/>
        <v/>
      </c>
      <c r="BM52" s="22" t="str">
        <f t="shared" si="208"/>
        <v/>
      </c>
      <c r="BN52" s="22" t="str">
        <f t="shared" si="208"/>
        <v/>
      </c>
      <c r="BO52" s="22" t="str">
        <f t="shared" si="208"/>
        <v/>
      </c>
      <c r="BP52" s="116"/>
    </row>
    <row r="53" spans="2:68" ht="15" customHeight="1" thickBot="1">
      <c r="B53" s="38">
        <v>48</v>
      </c>
      <c r="C53" s="35">
        <v>43279.625</v>
      </c>
      <c r="D53" s="38" t="s">
        <v>224</v>
      </c>
      <c r="E53" s="38" t="s">
        <v>223</v>
      </c>
      <c r="F53" s="158"/>
      <c r="G53" s="159">
        <f>C53+TimesInd/24</f>
        <v>43279.770833333336</v>
      </c>
      <c r="H53" s="148" t="str">
        <f t="shared" si="28"/>
        <v>Thu</v>
      </c>
      <c r="I53" s="149" t="str">
        <f t="shared" si="14"/>
        <v>Senegal</v>
      </c>
      <c r="J53" s="149" t="str">
        <f t="shared" si="15"/>
        <v>Colombia</v>
      </c>
      <c r="K53" s="150"/>
      <c r="L53" s="151"/>
      <c r="M53" s="152">
        <f t="shared" si="16"/>
        <v>0</v>
      </c>
      <c r="N53" s="224"/>
      <c r="O53" s="225"/>
      <c r="P53" s="102"/>
      <c r="Q53" s="163"/>
      <c r="R53" s="164"/>
      <c r="S53" s="163"/>
      <c r="T53" s="163"/>
      <c r="U53" s="163"/>
      <c r="V53" s="163"/>
      <c r="W53" s="163"/>
      <c r="X53" s="163"/>
      <c r="Y53" s="163"/>
      <c r="Z53" s="178"/>
      <c r="AA53" s="179" t="str">
        <f t="shared" si="17"/>
        <v/>
      </c>
      <c r="AB53" s="179" t="str">
        <f t="shared" si="18"/>
        <v/>
      </c>
      <c r="AC53" s="179">
        <f t="shared" si="19"/>
        <v>0</v>
      </c>
      <c r="AD53" s="179">
        <f t="shared" si="20"/>
        <v>0</v>
      </c>
      <c r="AE53" s="179" t="e">
        <f t="shared" si="194"/>
        <v>#N/A</v>
      </c>
      <c r="AF53" s="179" t="e">
        <f t="shared" si="194"/>
        <v>#N/A</v>
      </c>
      <c r="AG53" s="179" t="e">
        <f t="shared" si="203"/>
        <v>#N/A</v>
      </c>
      <c r="AH53" s="179" t="e">
        <f t="shared" si="196"/>
        <v>#N/A</v>
      </c>
      <c r="AI53" s="179" t="e">
        <f t="shared" si="196"/>
        <v>#N/A</v>
      </c>
      <c r="AJ53" s="179" t="e">
        <f t="shared" si="204"/>
        <v>#N/A</v>
      </c>
      <c r="AK53" s="179" t="e">
        <f t="shared" si="198"/>
        <v>#N/A</v>
      </c>
      <c r="AL53" s="179" t="e">
        <f t="shared" si="198"/>
        <v>#N/A</v>
      </c>
      <c r="AM53" s="179" t="e">
        <f t="shared" si="205"/>
        <v>#N/A</v>
      </c>
      <c r="AN53" s="179" t="e">
        <f t="shared" si="148"/>
        <v>#N/A</v>
      </c>
      <c r="AO53" s="179" t="e">
        <f t="shared" si="149"/>
        <v>#N/A</v>
      </c>
      <c r="AP53" s="179" t="e">
        <f t="shared" si="206"/>
        <v>#N/A</v>
      </c>
      <c r="AQ53" s="179" t="e">
        <f t="shared" si="201"/>
        <v>#N/A</v>
      </c>
      <c r="AR53" s="179" t="e">
        <f t="shared" si="202"/>
        <v>#N/A</v>
      </c>
      <c r="AS53" s="226"/>
      <c r="AT53" s="227"/>
      <c r="AU53" s="227"/>
      <c r="AV53" s="227"/>
      <c r="AW53" s="227"/>
      <c r="AX53" s="227"/>
      <c r="AY53" s="227"/>
      <c r="AZ53" s="227"/>
      <c r="BA53" s="227"/>
      <c r="BB53" s="227"/>
      <c r="BC53" s="227"/>
      <c r="BD53" s="228"/>
      <c r="BE53" s="165">
        <f>SUM(BE49:BE52)</f>
        <v>16</v>
      </c>
      <c r="BF53" s="166">
        <f>MIN(AW49:AW52)</f>
        <v>0</v>
      </c>
      <c r="BG53" s="166">
        <f>MAX(AW49:AW52)</f>
        <v>0</v>
      </c>
      <c r="BH53" s="226"/>
      <c r="BI53" s="227"/>
      <c r="BJ53" s="227"/>
      <c r="BK53" s="227"/>
      <c r="BL53" s="101"/>
      <c r="BM53" s="101"/>
      <c r="BN53" s="101"/>
      <c r="BO53" s="101"/>
      <c r="BP53" s="167"/>
    </row>
    <row r="54" spans="2:68" ht="9.9499999999999993" customHeight="1">
      <c r="B54" s="38"/>
      <c r="C54" s="35"/>
      <c r="D54" s="38"/>
      <c r="E54" s="38"/>
      <c r="F54" s="119"/>
      <c r="G54" s="115"/>
      <c r="H54" s="115"/>
      <c r="I54" s="122"/>
      <c r="J54" s="122"/>
      <c r="K54" s="134" t="s">
        <v>253</v>
      </c>
      <c r="L54" s="134" t="s">
        <v>253</v>
      </c>
      <c r="M54" s="162"/>
      <c r="N54" s="123" t="s">
        <v>253</v>
      </c>
      <c r="O54" s="123" t="s">
        <v>253</v>
      </c>
      <c r="P54" s="58"/>
      <c r="Q54" s="51"/>
      <c r="R54" s="55"/>
      <c r="S54" s="51"/>
      <c r="T54" s="51"/>
      <c r="U54" s="51"/>
      <c r="V54" s="51"/>
      <c r="W54" s="51"/>
      <c r="X54" s="51"/>
      <c r="Y54" s="51"/>
      <c r="Z54" s="52"/>
      <c r="AA54" s="52"/>
      <c r="AB54" s="52"/>
      <c r="AC54" s="52"/>
      <c r="AD54" s="52"/>
      <c r="AE54" s="52"/>
      <c r="AF54" s="52"/>
      <c r="AG54" s="52"/>
      <c r="AH54" s="52"/>
      <c r="AI54" s="52"/>
      <c r="AJ54" s="52"/>
      <c r="AK54" s="52"/>
      <c r="AL54" s="52"/>
      <c r="AM54" s="52"/>
      <c r="AN54" s="52"/>
      <c r="AO54" s="52"/>
      <c r="AP54" s="52"/>
      <c r="AQ54" s="52"/>
      <c r="AR54" s="52"/>
      <c r="AS54" s="52"/>
      <c r="AT54" s="52"/>
      <c r="AU54" s="58"/>
      <c r="AV54" s="58"/>
      <c r="AW54" s="58"/>
      <c r="AX54" s="58"/>
      <c r="AY54" s="58"/>
      <c r="AZ54" s="58"/>
      <c r="BA54" s="58"/>
      <c r="BB54" s="58"/>
      <c r="BC54" s="58"/>
      <c r="BD54" s="58"/>
      <c r="BE54" s="56"/>
      <c r="BF54" s="61"/>
      <c r="BG54" s="61"/>
      <c r="BH54" s="58"/>
      <c r="BI54" s="58"/>
      <c r="BJ54" s="58"/>
      <c r="BK54" s="58"/>
      <c r="BL54" s="52"/>
      <c r="BM54" s="52"/>
      <c r="BN54" s="52"/>
      <c r="BO54" s="52"/>
      <c r="BP54" s="99"/>
    </row>
    <row r="55" spans="2:68" ht="15" customHeight="1">
      <c r="B55" s="38">
        <v>50</v>
      </c>
      <c r="C55" s="35">
        <v>43281.625</v>
      </c>
      <c r="D55" s="37" t="s">
        <v>204</v>
      </c>
      <c r="E55" s="37" t="s">
        <v>209</v>
      </c>
      <c r="F55" s="120"/>
      <c r="G55" s="74">
        <f>C55+TimesInd/24</f>
        <v>43281.770833333336</v>
      </c>
      <c r="H55" s="75" t="str">
        <f t="shared" ref="H55:H62" si="218">TEXT(G55,"ddd")</f>
        <v>Sat</v>
      </c>
      <c r="I55" s="76" t="str">
        <f>VLOOKUP(D55,'2018'!$P$7:$R$52,3,FALSE)</f>
        <v>Peru</v>
      </c>
      <c r="J55" s="76" t="str">
        <f>VLOOKUP(E55,'2018'!$P$7:$R$52,3,FALSE)</f>
        <v>Nigeria</v>
      </c>
      <c r="K55" s="132"/>
      <c r="L55" s="132"/>
      <c r="M55" s="84"/>
      <c r="N55" s="135"/>
      <c r="O55" s="135"/>
      <c r="P55" s="58" t="str">
        <f t="shared" ref="P55:P62" si="219">IF(K55+N55&gt;L55+O55,I55,IF(K55+N55&lt;L55+O55,J55,""))</f>
        <v/>
      </c>
      <c r="Q55" s="57"/>
      <c r="R55" s="57"/>
      <c r="S55" s="51"/>
      <c r="T55" s="51"/>
      <c r="U55" s="51"/>
      <c r="V55" s="51"/>
      <c r="W55" s="51"/>
      <c r="X55" s="51"/>
      <c r="Y55" s="51"/>
      <c r="Z55" s="52"/>
      <c r="AA55" s="52"/>
      <c r="AB55" s="52"/>
      <c r="AC55" s="52"/>
      <c r="AD55" s="52"/>
      <c r="AE55" s="52"/>
      <c r="AF55" s="52"/>
      <c r="AG55" s="52"/>
      <c r="AH55" s="52"/>
      <c r="AI55" s="52"/>
      <c r="AJ55" s="52"/>
      <c r="AK55" s="52"/>
      <c r="AL55" s="52"/>
      <c r="AM55" s="52"/>
      <c r="AN55" s="52"/>
      <c r="AO55" s="52"/>
      <c r="AP55" s="52"/>
      <c r="AQ55" s="52"/>
      <c r="AR55" s="52"/>
      <c r="AS55" s="51"/>
      <c r="AT55" s="51"/>
      <c r="AU55" s="51"/>
      <c r="AV55" s="51"/>
      <c r="AW55" s="51"/>
      <c r="AX55" s="51"/>
      <c r="AY55" s="51"/>
      <c r="AZ55" s="51"/>
      <c r="BA55" s="51"/>
      <c r="BB55" s="51"/>
      <c r="BC55" s="51"/>
      <c r="BD55" s="51"/>
      <c r="BE55" s="56"/>
      <c r="BF55" s="58"/>
      <c r="BG55" s="58"/>
      <c r="BH55" s="58"/>
      <c r="BI55" s="58"/>
      <c r="BJ55" s="58"/>
      <c r="BK55" s="58"/>
      <c r="BL55" s="52"/>
      <c r="BM55" s="52"/>
      <c r="BN55" s="52"/>
      <c r="BO55" s="52"/>
      <c r="BP55" s="98"/>
    </row>
    <row r="56" spans="2:68" ht="15" customHeight="1">
      <c r="B56" s="38">
        <v>49</v>
      </c>
      <c r="C56" s="35">
        <v>43281.791666666664</v>
      </c>
      <c r="D56" s="37" t="s">
        <v>227</v>
      </c>
      <c r="E56" s="37" t="s">
        <v>203</v>
      </c>
      <c r="F56" s="120"/>
      <c r="G56" s="74">
        <f>C56+TimesInd/24</f>
        <v>43281.9375</v>
      </c>
      <c r="H56" s="75" t="str">
        <f t="shared" si="218"/>
        <v>Sat</v>
      </c>
      <c r="I56" s="76" t="str">
        <f>VLOOKUP(D56,'2018'!$P$7:$R$52,3,FALSE)</f>
        <v>Uruguay</v>
      </c>
      <c r="J56" s="76" t="str">
        <f>VLOOKUP(E56,'2018'!$P$7:$R$52,3,FALSE)</f>
        <v>Iran</v>
      </c>
      <c r="K56" s="132"/>
      <c r="L56" s="132"/>
      <c r="M56" s="84"/>
      <c r="N56" s="135"/>
      <c r="O56" s="135"/>
      <c r="P56" s="58" t="str">
        <f t="shared" si="219"/>
        <v/>
      </c>
      <c r="Q56" s="57"/>
      <c r="R56" s="57"/>
      <c r="S56" s="51"/>
      <c r="T56" s="51"/>
      <c r="U56" s="51"/>
      <c r="V56" s="51"/>
      <c r="W56" s="51"/>
      <c r="X56" s="51"/>
      <c r="Y56" s="51"/>
      <c r="Z56" s="52"/>
      <c r="AA56" s="52"/>
      <c r="AB56" s="52"/>
      <c r="AC56" s="52"/>
      <c r="AD56" s="52"/>
      <c r="AE56" s="52"/>
      <c r="AF56" s="52"/>
      <c r="AG56" s="52"/>
      <c r="AH56" s="52"/>
      <c r="AI56" s="52"/>
      <c r="AJ56" s="52"/>
      <c r="AK56" s="52"/>
      <c r="AL56" s="52"/>
      <c r="AM56" s="52"/>
      <c r="AN56" s="52"/>
      <c r="AO56" s="52"/>
      <c r="AP56" s="52"/>
      <c r="AQ56" s="52"/>
      <c r="AR56" s="52"/>
      <c r="AS56" s="51"/>
      <c r="AT56" s="51"/>
      <c r="AU56" s="51"/>
      <c r="AV56" s="51"/>
      <c r="AW56" s="51"/>
      <c r="AX56" s="51"/>
      <c r="AY56" s="51"/>
      <c r="AZ56" s="51"/>
      <c r="BA56" s="51"/>
      <c r="BB56" s="51"/>
      <c r="BC56" s="51"/>
      <c r="BD56" s="51"/>
      <c r="BE56" s="56"/>
      <c r="BF56" s="58"/>
      <c r="BG56" s="58"/>
      <c r="BH56" s="58"/>
      <c r="BI56" s="58"/>
      <c r="BJ56" s="58"/>
      <c r="BK56" s="58"/>
      <c r="BL56" s="52"/>
      <c r="BM56" s="52"/>
      <c r="BN56" s="52"/>
      <c r="BO56" s="52"/>
      <c r="BP56" s="98"/>
    </row>
    <row r="57" spans="2:68" ht="15" customHeight="1">
      <c r="B57" s="38">
        <v>51</v>
      </c>
      <c r="C57" s="35">
        <v>43282.625</v>
      </c>
      <c r="D57" s="37" t="s">
        <v>202</v>
      </c>
      <c r="E57" s="37" t="s">
        <v>197</v>
      </c>
      <c r="F57" s="120"/>
      <c r="G57" s="74">
        <f>C57+TimesInd/24</f>
        <v>43282.770833333336</v>
      </c>
      <c r="H57" s="75" t="str">
        <f t="shared" si="218"/>
        <v>Sun</v>
      </c>
      <c r="I57" s="76" t="str">
        <f>VLOOKUP(D57,'2018'!$P$7:$R$52,3,FALSE)</f>
        <v>Morocco</v>
      </c>
      <c r="J57" s="76" t="str">
        <f>VLOOKUP(E57,'2018'!$P$7:$R$52,3,FALSE)</f>
        <v>Saudi Arabia</v>
      </c>
      <c r="K57" s="132"/>
      <c r="L57" s="132"/>
      <c r="M57" s="84"/>
      <c r="N57" s="135"/>
      <c r="O57" s="135"/>
      <c r="P57" s="58" t="str">
        <f t="shared" si="219"/>
        <v/>
      </c>
      <c r="Q57" s="57"/>
      <c r="R57" s="57"/>
      <c r="S57" s="51"/>
      <c r="T57" s="51"/>
      <c r="U57" s="51"/>
      <c r="V57" s="51"/>
      <c r="W57" s="51"/>
      <c r="X57" s="51"/>
      <c r="Y57" s="51"/>
      <c r="Z57" s="52"/>
      <c r="AA57" s="52"/>
      <c r="AB57" s="52"/>
      <c r="AC57" s="52"/>
      <c r="AD57" s="52"/>
      <c r="AE57" s="52"/>
      <c r="AF57" s="52"/>
      <c r="AG57" s="52"/>
      <c r="AH57" s="52"/>
      <c r="AI57" s="52"/>
      <c r="AJ57" s="52"/>
      <c r="AK57" s="52"/>
      <c r="AL57" s="52"/>
      <c r="AM57" s="52"/>
      <c r="AN57" s="52"/>
      <c r="AO57" s="52"/>
      <c r="AP57" s="52"/>
      <c r="AQ57" s="52"/>
      <c r="AR57" s="52"/>
      <c r="AS57" s="51"/>
      <c r="AT57" s="51"/>
      <c r="AU57" s="51"/>
      <c r="AV57" s="51"/>
      <c r="AW57" s="51"/>
      <c r="AX57" s="51"/>
      <c r="AY57" s="51"/>
      <c r="AZ57" s="51"/>
      <c r="BA57" s="51"/>
      <c r="BB57" s="51"/>
      <c r="BC57" s="51"/>
      <c r="BD57" s="51"/>
      <c r="BE57" s="56"/>
      <c r="BF57" s="58"/>
      <c r="BG57" s="58"/>
      <c r="BH57" s="58"/>
      <c r="BI57" s="58"/>
      <c r="BJ57" s="58"/>
      <c r="BK57" s="58"/>
      <c r="BL57" s="52"/>
      <c r="BM57" s="52"/>
      <c r="BN57" s="52"/>
      <c r="BO57" s="52"/>
      <c r="BP57" s="98"/>
    </row>
    <row r="58" spans="2:68" ht="15" customHeight="1">
      <c r="B58" s="38">
        <v>52</v>
      </c>
      <c r="C58" s="35">
        <v>43282.791666666664</v>
      </c>
      <c r="D58" s="37" t="s">
        <v>208</v>
      </c>
      <c r="E58" s="37" t="s">
        <v>205</v>
      </c>
      <c r="F58" s="120"/>
      <c r="G58" s="74">
        <f>C58+TimesInd/24</f>
        <v>43282.9375</v>
      </c>
      <c r="H58" s="75" t="str">
        <f t="shared" si="218"/>
        <v>Sun</v>
      </c>
      <c r="I58" s="76" t="str">
        <f>VLOOKUP(D58,'2018'!$P$7:$R$52,3,FALSE)</f>
        <v>Argentina</v>
      </c>
      <c r="J58" s="76" t="str">
        <f>VLOOKUP(E58,'2018'!$P$7:$R$52,3,FALSE)</f>
        <v>Denmark</v>
      </c>
      <c r="K58" s="132"/>
      <c r="L58" s="132"/>
      <c r="M58" s="84"/>
      <c r="N58" s="135"/>
      <c r="O58" s="135"/>
      <c r="P58" s="58" t="str">
        <f t="shared" si="219"/>
        <v/>
      </c>
      <c r="Q58" s="57"/>
      <c r="R58" s="57"/>
      <c r="S58" s="51"/>
      <c r="T58" s="51"/>
      <c r="U58" s="51"/>
      <c r="V58" s="51"/>
      <c r="W58" s="51"/>
      <c r="X58" s="51"/>
      <c r="Y58" s="51"/>
      <c r="Z58" s="52"/>
      <c r="AA58" s="52"/>
      <c r="AB58" s="52"/>
      <c r="AC58" s="52"/>
      <c r="AD58" s="52"/>
      <c r="AE58" s="52"/>
      <c r="AF58" s="52"/>
      <c r="AG58" s="52"/>
      <c r="AH58" s="52"/>
      <c r="AI58" s="52"/>
      <c r="AJ58" s="52"/>
      <c r="AK58" s="52"/>
      <c r="AL58" s="52"/>
      <c r="AM58" s="52"/>
      <c r="AN58" s="52"/>
      <c r="AO58" s="52"/>
      <c r="AP58" s="52"/>
      <c r="AQ58" s="52"/>
      <c r="AR58" s="52"/>
      <c r="AS58" s="51"/>
      <c r="AT58" s="51"/>
      <c r="AU58" s="51"/>
      <c r="AV58" s="51"/>
      <c r="AW58" s="51"/>
      <c r="AX58" s="51"/>
      <c r="AY58" s="51"/>
      <c r="AZ58" s="51"/>
      <c r="BA58" s="51"/>
      <c r="BB58" s="51"/>
      <c r="BC58" s="51"/>
      <c r="BD58" s="51"/>
      <c r="BE58" s="56"/>
      <c r="BF58" s="58"/>
      <c r="BG58" s="58"/>
      <c r="BH58" s="58"/>
      <c r="BI58" s="58"/>
      <c r="BJ58" s="58"/>
      <c r="BK58" s="58"/>
      <c r="BL58" s="52"/>
      <c r="BM58" s="52"/>
      <c r="BN58" s="52"/>
      <c r="BO58" s="52"/>
      <c r="BP58" s="98"/>
    </row>
    <row r="59" spans="2:68" ht="15" customHeight="1">
      <c r="B59" s="38">
        <v>53</v>
      </c>
      <c r="C59" s="35">
        <v>43283.625</v>
      </c>
      <c r="D59" s="37" t="s">
        <v>214</v>
      </c>
      <c r="E59" s="37" t="s">
        <v>217</v>
      </c>
      <c r="F59" s="120"/>
      <c r="G59" s="74">
        <f>C59+TimesInd/24</f>
        <v>43283.770833333336</v>
      </c>
      <c r="H59" s="75" t="str">
        <f t="shared" si="218"/>
        <v>Mon</v>
      </c>
      <c r="I59" s="76" t="str">
        <f>VLOOKUP(D59,'2018'!$P$7:$R$52,3,FALSE)</f>
        <v>Brazil</v>
      </c>
      <c r="J59" s="76" t="str">
        <f>VLOOKUP(E59,'2018'!$P$7:$R$52,3,FALSE)</f>
        <v>Mexico</v>
      </c>
      <c r="K59" s="132"/>
      <c r="L59" s="132"/>
      <c r="M59" s="84"/>
      <c r="N59" s="135"/>
      <c r="O59" s="135"/>
      <c r="P59" s="58" t="str">
        <f t="shared" si="219"/>
        <v/>
      </c>
      <c r="Q59" s="57"/>
      <c r="R59" s="57"/>
      <c r="S59" s="51"/>
      <c r="T59" s="51"/>
      <c r="U59" s="51"/>
      <c r="V59" s="51"/>
      <c r="W59" s="51"/>
      <c r="X59" s="51"/>
      <c r="Y59" s="51"/>
      <c r="Z59" s="52"/>
      <c r="AA59" s="52"/>
      <c r="AB59" s="52"/>
      <c r="AC59" s="52"/>
      <c r="AD59" s="52"/>
      <c r="AE59" s="52"/>
      <c r="AF59" s="52"/>
      <c r="AG59" s="52"/>
      <c r="AH59" s="52"/>
      <c r="AI59" s="52"/>
      <c r="AJ59" s="52"/>
      <c r="AK59" s="52"/>
      <c r="AL59" s="52"/>
      <c r="AM59" s="52"/>
      <c r="AN59" s="52"/>
      <c r="AO59" s="52"/>
      <c r="AP59" s="52"/>
      <c r="AQ59" s="52"/>
      <c r="AR59" s="52"/>
      <c r="AS59" s="51"/>
      <c r="AT59" s="51"/>
      <c r="AU59" s="51"/>
      <c r="AV59" s="51"/>
      <c r="AW59" s="51"/>
      <c r="AX59" s="51"/>
      <c r="AY59" s="51"/>
      <c r="AZ59" s="51"/>
      <c r="BA59" s="51"/>
      <c r="BB59" s="51"/>
      <c r="BC59" s="51"/>
      <c r="BD59" s="51"/>
      <c r="BE59" s="56"/>
      <c r="BF59" s="58"/>
      <c r="BG59" s="58"/>
      <c r="BH59" s="58"/>
      <c r="BI59" s="58"/>
      <c r="BJ59" s="58"/>
      <c r="BK59" s="58"/>
      <c r="BL59" s="52"/>
      <c r="BM59" s="52"/>
      <c r="BN59" s="52"/>
      <c r="BO59" s="52"/>
      <c r="BP59" s="98"/>
    </row>
    <row r="60" spans="2:68" ht="15" customHeight="1">
      <c r="B60" s="38">
        <v>54</v>
      </c>
      <c r="C60" s="35">
        <v>43283.791666666664</v>
      </c>
      <c r="D60" s="37" t="s">
        <v>79</v>
      </c>
      <c r="E60" s="37" t="s">
        <v>223</v>
      </c>
      <c r="F60" s="120"/>
      <c r="G60" s="74">
        <f>C60+TimesInd/24</f>
        <v>43283.9375</v>
      </c>
      <c r="H60" s="75" t="str">
        <f t="shared" si="218"/>
        <v>Mon</v>
      </c>
      <c r="I60" s="76" t="str">
        <f>VLOOKUP(D60,'2018'!$P$7:$R$52,3,FALSE)</f>
        <v>Panama</v>
      </c>
      <c r="J60" s="76" t="str">
        <f>VLOOKUP(E60,'2018'!$P$7:$R$52,3,FALSE)</f>
        <v>Senegal</v>
      </c>
      <c r="K60" s="132"/>
      <c r="L60" s="132"/>
      <c r="M60" s="84"/>
      <c r="N60" s="135"/>
      <c r="O60" s="135"/>
      <c r="P60" s="58" t="str">
        <f t="shared" si="219"/>
        <v/>
      </c>
      <c r="Q60" s="57"/>
      <c r="R60" s="57"/>
      <c r="S60" s="51"/>
      <c r="T60" s="51"/>
      <c r="U60" s="51"/>
      <c r="V60" s="51"/>
      <c r="W60" s="51"/>
      <c r="X60" s="51"/>
      <c r="Y60" s="51"/>
      <c r="Z60" s="52"/>
      <c r="AA60" s="52"/>
      <c r="AB60" s="52"/>
      <c r="AC60" s="52"/>
      <c r="AD60" s="52"/>
      <c r="AE60" s="52"/>
      <c r="AF60" s="52"/>
      <c r="AG60" s="52"/>
      <c r="AH60" s="52"/>
      <c r="AI60" s="52"/>
      <c r="AJ60" s="52"/>
      <c r="AK60" s="52"/>
      <c r="AL60" s="52"/>
      <c r="AM60" s="52"/>
      <c r="AN60" s="52"/>
      <c r="AO60" s="52"/>
      <c r="AP60" s="52"/>
      <c r="AQ60" s="52"/>
      <c r="AR60" s="52"/>
      <c r="AS60" s="51"/>
      <c r="AT60" s="51"/>
      <c r="AU60" s="51"/>
      <c r="AV60" s="51"/>
      <c r="AW60" s="51"/>
      <c r="AX60" s="51"/>
      <c r="AY60" s="51"/>
      <c r="AZ60" s="51"/>
      <c r="BA60" s="51"/>
      <c r="BB60" s="51"/>
      <c r="BC60" s="51"/>
      <c r="BD60" s="51"/>
      <c r="BE60" s="56"/>
      <c r="BF60" s="58"/>
      <c r="BG60" s="58"/>
      <c r="BH60" s="58"/>
      <c r="BI60" s="58"/>
      <c r="BJ60" s="58"/>
      <c r="BK60" s="58"/>
      <c r="BL60" s="52"/>
      <c r="BM60" s="52"/>
      <c r="BN60" s="52"/>
      <c r="BO60" s="52"/>
      <c r="BP60" s="98"/>
    </row>
    <row r="61" spans="2:68" ht="15" customHeight="1">
      <c r="B61" s="38">
        <v>55</v>
      </c>
      <c r="C61" s="35">
        <v>43284.625</v>
      </c>
      <c r="D61" s="37" t="s">
        <v>216</v>
      </c>
      <c r="E61" s="37" t="s">
        <v>215</v>
      </c>
      <c r="F61" s="120"/>
      <c r="G61" s="74">
        <f>C61+TimesInd/24</f>
        <v>43284.770833333336</v>
      </c>
      <c r="H61" s="75" t="str">
        <f t="shared" si="218"/>
        <v>Tue</v>
      </c>
      <c r="I61" s="76" t="str">
        <f>VLOOKUP(D61,'2018'!$P$7:$R$52,3,FALSE)</f>
        <v>Germany</v>
      </c>
      <c r="J61" s="76" t="str">
        <f>VLOOKUP(E61,'2018'!$P$7:$R$52,3,FALSE)</f>
        <v>Serbia</v>
      </c>
      <c r="K61" s="132"/>
      <c r="L61" s="132"/>
      <c r="M61" s="84"/>
      <c r="N61" s="135"/>
      <c r="O61" s="135"/>
      <c r="P61" s="58" t="str">
        <f t="shared" si="219"/>
        <v/>
      </c>
      <c r="Q61" s="57"/>
      <c r="R61" s="57"/>
      <c r="S61" s="51"/>
      <c r="T61" s="51"/>
      <c r="U61" s="51"/>
      <c r="V61" s="51"/>
      <c r="W61" s="51"/>
      <c r="X61" s="51"/>
      <c r="Y61" s="51"/>
      <c r="Z61" s="52"/>
      <c r="AA61" s="52"/>
      <c r="AB61" s="52"/>
      <c r="AC61" s="52"/>
      <c r="AD61" s="52"/>
      <c r="AE61" s="52"/>
      <c r="AF61" s="52"/>
      <c r="AG61" s="52"/>
      <c r="AH61" s="52"/>
      <c r="AI61" s="52"/>
      <c r="AJ61" s="52"/>
      <c r="AK61" s="52"/>
      <c r="AL61" s="52"/>
      <c r="AM61" s="52"/>
      <c r="AN61" s="52"/>
      <c r="AO61" s="52"/>
      <c r="AP61" s="52"/>
      <c r="AQ61" s="52"/>
      <c r="AR61" s="52"/>
      <c r="AS61" s="52"/>
      <c r="AT61" s="52"/>
      <c r="AU61" s="58"/>
      <c r="AV61" s="58"/>
      <c r="AW61" s="58"/>
      <c r="AX61" s="58"/>
      <c r="AY61" s="58"/>
      <c r="AZ61" s="58"/>
      <c r="BA61" s="58"/>
      <c r="BB61" s="58"/>
      <c r="BC61" s="58"/>
      <c r="BD61" s="58"/>
      <c r="BE61" s="58"/>
      <c r="BF61" s="58"/>
      <c r="BG61" s="58"/>
      <c r="BH61" s="58"/>
      <c r="BI61" s="58"/>
      <c r="BJ61" s="58"/>
      <c r="BK61" s="58"/>
      <c r="BL61" s="52"/>
      <c r="BM61" s="52"/>
      <c r="BN61" s="52"/>
      <c r="BO61" s="52"/>
      <c r="BP61" s="98"/>
    </row>
    <row r="62" spans="2:68" ht="15" customHeight="1">
      <c r="B62" s="38">
        <v>56</v>
      </c>
      <c r="C62" s="35">
        <v>43284.791666666664</v>
      </c>
      <c r="D62" s="37" t="s">
        <v>222</v>
      </c>
      <c r="E62" s="37" t="s">
        <v>188</v>
      </c>
      <c r="F62" s="120"/>
      <c r="G62" s="74">
        <f>C62+TimesInd/24</f>
        <v>43284.9375</v>
      </c>
      <c r="H62" s="75" t="str">
        <f t="shared" si="218"/>
        <v>Tue</v>
      </c>
      <c r="I62" s="76" t="str">
        <f>VLOOKUP(D62,'2018'!$P$7:$R$52,3,FALSE)</f>
        <v>Japan</v>
      </c>
      <c r="J62" s="76" t="str">
        <f>VLOOKUP(E62,'2018'!$P$7:$R$52,3,FALSE)</f>
        <v>England</v>
      </c>
      <c r="K62" s="132"/>
      <c r="L62" s="132"/>
      <c r="M62" s="84"/>
      <c r="N62" s="135"/>
      <c r="O62" s="135"/>
      <c r="P62" s="58" t="str">
        <f t="shared" si="219"/>
        <v/>
      </c>
      <c r="Q62" s="59"/>
      <c r="R62" s="57"/>
      <c r="S62" s="51"/>
      <c r="T62" s="51"/>
      <c r="U62" s="51"/>
      <c r="V62" s="51"/>
      <c r="W62" s="51"/>
      <c r="X62" s="51"/>
      <c r="Y62" s="51"/>
      <c r="Z62" s="52"/>
      <c r="AA62" s="52"/>
      <c r="AB62" s="52"/>
      <c r="AC62" s="52"/>
      <c r="AD62" s="52"/>
      <c r="AE62" s="52"/>
      <c r="AF62" s="52"/>
      <c r="AG62" s="52"/>
      <c r="AH62" s="52"/>
      <c r="AI62" s="52"/>
      <c r="AJ62" s="52"/>
      <c r="AK62" s="52"/>
      <c r="AL62" s="52"/>
      <c r="AM62" s="52"/>
      <c r="AN62" s="52"/>
      <c r="AO62" s="52"/>
      <c r="AP62" s="52"/>
      <c r="AQ62" s="52"/>
      <c r="AR62" s="52"/>
      <c r="AS62" s="52"/>
      <c r="AT62" s="52"/>
      <c r="AU62" s="58"/>
      <c r="AV62" s="58"/>
      <c r="AW62" s="58"/>
      <c r="AX62" s="58"/>
      <c r="AY62" s="58"/>
      <c r="AZ62" s="58"/>
      <c r="BA62" s="58"/>
      <c r="BB62" s="58"/>
      <c r="BC62" s="58"/>
      <c r="BD62" s="58"/>
      <c r="BE62" s="58"/>
      <c r="BF62" s="58"/>
      <c r="BG62" s="58"/>
      <c r="BH62" s="58"/>
      <c r="BI62" s="58"/>
      <c r="BJ62" s="58"/>
      <c r="BK62" s="58"/>
      <c r="BL62" s="52"/>
      <c r="BM62" s="52"/>
      <c r="BN62" s="52"/>
      <c r="BO62" s="52"/>
      <c r="BP62" s="98"/>
    </row>
    <row r="63" spans="2:68" ht="9.9499999999999993" customHeight="1">
      <c r="B63" s="38"/>
      <c r="C63" s="35"/>
      <c r="D63" s="38"/>
      <c r="E63" s="38"/>
      <c r="F63" s="119"/>
      <c r="G63" s="115"/>
      <c r="H63" s="115"/>
      <c r="I63" s="122"/>
      <c r="J63" s="122"/>
      <c r="K63" s="134"/>
      <c r="L63" s="134"/>
      <c r="M63" s="124"/>
      <c r="N63" s="134"/>
      <c r="O63" s="134"/>
      <c r="P63" s="58"/>
      <c r="Q63" s="51"/>
      <c r="R63" s="55"/>
      <c r="S63" s="51"/>
      <c r="T63" s="51"/>
      <c r="U63" s="51"/>
      <c r="V63" s="51"/>
      <c r="W63" s="51"/>
      <c r="X63" s="51"/>
      <c r="Y63" s="51"/>
      <c r="Z63" s="52"/>
      <c r="AA63" s="52"/>
      <c r="AB63" s="52"/>
      <c r="AC63" s="52"/>
      <c r="AD63" s="52"/>
      <c r="AE63" s="52"/>
      <c r="AF63" s="52"/>
      <c r="AG63" s="52"/>
      <c r="AH63" s="52"/>
      <c r="AI63" s="52"/>
      <c r="AJ63" s="52"/>
      <c r="AK63" s="52"/>
      <c r="AL63" s="52"/>
      <c r="AM63" s="52"/>
      <c r="AN63" s="52"/>
      <c r="AO63" s="52"/>
      <c r="AP63" s="52"/>
      <c r="AQ63" s="52"/>
      <c r="AR63" s="52"/>
      <c r="AS63" s="52"/>
      <c r="AT63" s="52"/>
      <c r="AU63" s="58"/>
      <c r="AV63" s="58"/>
      <c r="AW63" s="58"/>
      <c r="AX63" s="58"/>
      <c r="AY63" s="58"/>
      <c r="AZ63" s="58"/>
      <c r="BA63" s="58"/>
      <c r="BB63" s="58"/>
      <c r="BC63" s="58"/>
      <c r="BD63" s="58"/>
      <c r="BE63" s="56"/>
      <c r="BF63" s="61"/>
      <c r="BG63" s="61"/>
      <c r="BH63" s="58"/>
      <c r="BI63" s="58"/>
      <c r="BJ63" s="58"/>
      <c r="BK63" s="58"/>
      <c r="BL63" s="52"/>
      <c r="BM63" s="52"/>
      <c r="BN63" s="52"/>
      <c r="BO63" s="52"/>
      <c r="BP63" s="99"/>
    </row>
    <row r="64" spans="2:68" ht="15" customHeight="1">
      <c r="B64" s="38">
        <v>57</v>
      </c>
      <c r="C64" s="35">
        <v>43287.625</v>
      </c>
      <c r="D64" s="37">
        <v>49</v>
      </c>
      <c r="E64" s="37">
        <v>50</v>
      </c>
      <c r="F64" s="120"/>
      <c r="G64" s="74">
        <f>C64+TimesInd/24</f>
        <v>43287.770833333336</v>
      </c>
      <c r="H64" s="75" t="str">
        <f>TEXT(G64,"ddd")</f>
        <v>Fri</v>
      </c>
      <c r="I64" s="76" t="str">
        <f t="shared" ref="I64:J67" si="220">IF(VLOOKUP(D64,$B$55:$P$73,15,FALSE)="","",VLOOKUP(D64,$B$55:$P$73,15,FALSE))</f>
        <v/>
      </c>
      <c r="J64" s="76" t="str">
        <f t="shared" si="220"/>
        <v/>
      </c>
      <c r="K64" s="132"/>
      <c r="L64" s="132"/>
      <c r="M64" s="84"/>
      <c r="N64" s="135"/>
      <c r="O64" s="135"/>
      <c r="P64" s="58" t="str">
        <f>IF(K64+N64&gt;L64+O64,I64,IF(K64+N64&lt;L64+O64,J64,""))</f>
        <v/>
      </c>
      <c r="Q64" s="59"/>
      <c r="R64" s="57"/>
      <c r="S64" s="51"/>
      <c r="T64" s="51"/>
      <c r="U64" s="51"/>
      <c r="V64" s="51"/>
      <c r="W64" s="51"/>
      <c r="X64" s="51"/>
      <c r="Y64" s="51"/>
      <c r="Z64" s="52"/>
      <c r="AA64" s="52"/>
      <c r="AB64" s="52"/>
      <c r="AC64" s="52"/>
      <c r="AD64" s="52"/>
      <c r="AE64" s="52"/>
      <c r="AF64" s="52"/>
      <c r="AG64" s="52"/>
      <c r="AH64" s="52"/>
      <c r="AI64" s="52"/>
      <c r="AJ64" s="52"/>
      <c r="AK64" s="52"/>
      <c r="AL64" s="52"/>
      <c r="AM64" s="52"/>
      <c r="AN64" s="52"/>
      <c r="AO64" s="52"/>
      <c r="AP64" s="52"/>
      <c r="AQ64" s="52"/>
      <c r="AR64" s="52"/>
      <c r="AS64" s="52"/>
      <c r="AT64" s="52"/>
      <c r="AU64" s="58"/>
      <c r="AV64" s="58"/>
      <c r="AW64" s="58"/>
      <c r="AX64" s="58"/>
      <c r="AY64" s="58"/>
      <c r="AZ64" s="58"/>
      <c r="BA64" s="58"/>
      <c r="BB64" s="58"/>
      <c r="BC64" s="58"/>
      <c r="BD64" s="58"/>
      <c r="BE64" s="58"/>
      <c r="BF64" s="58"/>
      <c r="BG64" s="58"/>
      <c r="BH64" s="58"/>
      <c r="BI64" s="58"/>
      <c r="BJ64" s="58"/>
      <c r="BK64" s="58"/>
      <c r="BL64" s="52"/>
      <c r="BM64" s="52"/>
      <c r="BN64" s="52"/>
      <c r="BO64" s="52"/>
      <c r="BP64" s="98"/>
    </row>
    <row r="65" spans="2:68" ht="15" customHeight="1">
      <c r="B65" s="38">
        <v>58</v>
      </c>
      <c r="C65" s="35">
        <v>43287.791666666664</v>
      </c>
      <c r="D65" s="37">
        <v>53</v>
      </c>
      <c r="E65" s="37">
        <v>54</v>
      </c>
      <c r="F65" s="120"/>
      <c r="G65" s="74">
        <f>C65+TimesInd/24</f>
        <v>43287.9375</v>
      </c>
      <c r="H65" s="75" t="str">
        <f>TEXT(G65,"ddd")</f>
        <v>Fri</v>
      </c>
      <c r="I65" s="76" t="str">
        <f t="shared" si="220"/>
        <v/>
      </c>
      <c r="J65" s="76" t="str">
        <f t="shared" si="220"/>
        <v/>
      </c>
      <c r="K65" s="132"/>
      <c r="L65" s="132"/>
      <c r="M65" s="84"/>
      <c r="N65" s="135"/>
      <c r="O65" s="135"/>
      <c r="P65" s="58" t="str">
        <f>IF(K65+N65&gt;L65+O65,I65,IF(K65+N65&lt;L65+O65,J65,""))</f>
        <v/>
      </c>
      <c r="Q65" s="59"/>
      <c r="R65" s="57"/>
      <c r="S65" s="51"/>
      <c r="T65" s="51"/>
      <c r="U65" s="51"/>
      <c r="V65" s="51"/>
      <c r="W65" s="51"/>
      <c r="X65" s="51"/>
      <c r="Y65" s="51"/>
      <c r="Z65" s="52"/>
      <c r="AA65" s="52"/>
      <c r="AB65" s="52"/>
      <c r="AC65" s="52"/>
      <c r="AD65" s="52"/>
      <c r="AE65" s="52"/>
      <c r="AF65" s="52"/>
      <c r="AG65" s="52"/>
      <c r="AH65" s="52"/>
      <c r="AI65" s="52"/>
      <c r="AJ65" s="52"/>
      <c r="AK65" s="52"/>
      <c r="AL65" s="52"/>
      <c r="AM65" s="52"/>
      <c r="AN65" s="52"/>
      <c r="AO65" s="52"/>
      <c r="AP65" s="52"/>
      <c r="AQ65" s="52"/>
      <c r="AR65" s="52"/>
      <c r="AS65" s="52"/>
      <c r="AT65" s="52"/>
      <c r="AU65" s="58"/>
      <c r="AV65" s="58"/>
      <c r="AW65" s="58"/>
      <c r="AX65" s="58"/>
      <c r="AY65" s="58"/>
      <c r="AZ65" s="58"/>
      <c r="BA65" s="58"/>
      <c r="BB65" s="58"/>
      <c r="BC65" s="58"/>
      <c r="BD65" s="58"/>
      <c r="BE65" s="58"/>
      <c r="BF65" s="58"/>
      <c r="BG65" s="58"/>
      <c r="BH65" s="58"/>
      <c r="BI65" s="58"/>
      <c r="BJ65" s="58"/>
      <c r="BK65" s="58"/>
      <c r="BL65" s="52"/>
      <c r="BM65" s="52"/>
      <c r="BN65" s="52"/>
      <c r="BO65" s="52"/>
      <c r="BP65" s="98"/>
    </row>
    <row r="66" spans="2:68" ht="15" customHeight="1">
      <c r="B66" s="38">
        <v>60</v>
      </c>
      <c r="C66" s="35">
        <v>43288.625</v>
      </c>
      <c r="D66" s="37">
        <v>55</v>
      </c>
      <c r="E66" s="37">
        <v>56</v>
      </c>
      <c r="F66" s="120"/>
      <c r="G66" s="74">
        <f>C66+TimesInd/24</f>
        <v>43288.770833333336</v>
      </c>
      <c r="H66" s="75" t="str">
        <f>TEXT(G66,"ddd")</f>
        <v>Sat</v>
      </c>
      <c r="I66" s="76" t="str">
        <f t="shared" si="220"/>
        <v/>
      </c>
      <c r="J66" s="76" t="str">
        <f t="shared" si="220"/>
        <v/>
      </c>
      <c r="K66" s="132"/>
      <c r="L66" s="132"/>
      <c r="M66" s="84"/>
      <c r="N66" s="135"/>
      <c r="O66" s="135"/>
      <c r="P66" s="58" t="str">
        <f>IF(K66+N66&gt;L66+O66,I66,IF(K66+N66&lt;L66+O66,J66,""))</f>
        <v/>
      </c>
      <c r="Q66" s="59"/>
      <c r="R66" s="57"/>
      <c r="S66" s="51"/>
      <c r="T66" s="51"/>
      <c r="U66" s="51"/>
      <c r="V66" s="51"/>
      <c r="W66" s="51"/>
      <c r="X66" s="51"/>
      <c r="Y66" s="51"/>
      <c r="Z66" s="52"/>
      <c r="AA66" s="52"/>
      <c r="AB66" s="52"/>
      <c r="AC66" s="52"/>
      <c r="AD66" s="52"/>
      <c r="AE66" s="52"/>
      <c r="AF66" s="52"/>
      <c r="AG66" s="52"/>
      <c r="AH66" s="52"/>
      <c r="AI66" s="52"/>
      <c r="AJ66" s="52"/>
      <c r="AK66" s="52"/>
      <c r="AL66" s="52"/>
      <c r="AM66" s="52"/>
      <c r="AN66" s="52"/>
      <c r="AO66" s="52"/>
      <c r="AP66" s="52"/>
      <c r="AQ66" s="52"/>
      <c r="AR66" s="52"/>
      <c r="AS66" s="52"/>
      <c r="AT66" s="52"/>
      <c r="AU66" s="58"/>
      <c r="AV66" s="58"/>
      <c r="AW66" s="58"/>
      <c r="AX66" s="58"/>
      <c r="AY66" s="58"/>
      <c r="AZ66" s="58"/>
      <c r="BA66" s="58"/>
      <c r="BB66" s="58"/>
      <c r="BC66" s="58"/>
      <c r="BD66" s="58"/>
      <c r="BE66" s="58"/>
      <c r="BF66" s="58"/>
      <c r="BG66" s="58"/>
      <c r="BH66" s="58"/>
      <c r="BI66" s="58"/>
      <c r="BJ66" s="58"/>
      <c r="BK66" s="58"/>
      <c r="BL66" s="52"/>
      <c r="BM66" s="52"/>
      <c r="BN66" s="52"/>
      <c r="BO66" s="52"/>
      <c r="BP66" s="98"/>
    </row>
    <row r="67" spans="2:68" ht="15" customHeight="1">
      <c r="B67" s="38">
        <v>59</v>
      </c>
      <c r="C67" s="35">
        <v>43288.791666666664</v>
      </c>
      <c r="D67" s="37">
        <v>51</v>
      </c>
      <c r="E67" s="37">
        <v>52</v>
      </c>
      <c r="F67" s="120"/>
      <c r="G67" s="74">
        <f>C67+TimesInd/24</f>
        <v>43288.9375</v>
      </c>
      <c r="H67" s="75" t="str">
        <f>TEXT(G67,"ddd")</f>
        <v>Sat</v>
      </c>
      <c r="I67" s="76" t="str">
        <f t="shared" si="220"/>
        <v/>
      </c>
      <c r="J67" s="76" t="str">
        <f t="shared" si="220"/>
        <v/>
      </c>
      <c r="K67" s="132"/>
      <c r="L67" s="132"/>
      <c r="M67" s="84"/>
      <c r="N67" s="135"/>
      <c r="O67" s="135"/>
      <c r="P67" s="58" t="str">
        <f>IF(K67+N67&gt;L67+O67,I67,IF(K67+N67&lt;L67+O67,J67,""))</f>
        <v/>
      </c>
      <c r="Q67" s="59"/>
      <c r="R67" s="57"/>
      <c r="S67" s="51"/>
      <c r="T67" s="51"/>
      <c r="U67" s="51"/>
      <c r="V67" s="51"/>
      <c r="W67" s="51"/>
      <c r="X67" s="51"/>
      <c r="Y67" s="51"/>
      <c r="Z67" s="52"/>
      <c r="AA67" s="52"/>
      <c r="AB67" s="52"/>
      <c r="AC67" s="52"/>
      <c r="AD67" s="52"/>
      <c r="AE67" s="52"/>
      <c r="AF67" s="52"/>
      <c r="AG67" s="52"/>
      <c r="AH67" s="52"/>
      <c r="AI67" s="52"/>
      <c r="AJ67" s="52"/>
      <c r="AK67" s="52"/>
      <c r="AL67" s="52"/>
      <c r="AM67" s="52"/>
      <c r="AN67" s="52"/>
      <c r="AO67" s="52"/>
      <c r="AP67" s="52"/>
      <c r="AQ67" s="52"/>
      <c r="AR67" s="52"/>
      <c r="AS67" s="52"/>
      <c r="AT67" s="52"/>
      <c r="AU67" s="58"/>
      <c r="AV67" s="58"/>
      <c r="AW67" s="58"/>
      <c r="AX67" s="58"/>
      <c r="AY67" s="58"/>
      <c r="AZ67" s="58"/>
      <c r="BA67" s="58"/>
      <c r="BB67" s="58"/>
      <c r="BC67" s="58"/>
      <c r="BD67" s="58"/>
      <c r="BE67" s="58"/>
      <c r="BF67" s="58"/>
      <c r="BG67" s="58"/>
      <c r="BH67" s="58"/>
      <c r="BI67" s="58"/>
      <c r="BJ67" s="58"/>
      <c r="BK67" s="58"/>
      <c r="BL67" s="52"/>
      <c r="BM67" s="52"/>
      <c r="BN67" s="52"/>
      <c r="BO67" s="52"/>
      <c r="BP67" s="98"/>
    </row>
    <row r="68" spans="2:68" ht="9.9499999999999993" customHeight="1">
      <c r="B68" s="38"/>
      <c r="C68" s="35"/>
      <c r="D68" s="38"/>
      <c r="E68" s="38"/>
      <c r="F68" s="119"/>
      <c r="G68" s="115"/>
      <c r="H68" s="115"/>
      <c r="I68" s="122"/>
      <c r="J68" s="122"/>
      <c r="K68" s="134"/>
      <c r="L68" s="134"/>
      <c r="M68" s="124"/>
      <c r="N68" s="134"/>
      <c r="O68" s="134"/>
      <c r="P68" s="58"/>
      <c r="Q68" s="51"/>
      <c r="R68" s="55"/>
      <c r="S68" s="51"/>
      <c r="T68" s="51"/>
      <c r="U68" s="51"/>
      <c r="V68" s="51"/>
      <c r="W68" s="51"/>
      <c r="X68" s="51"/>
      <c r="Y68" s="51"/>
      <c r="Z68" s="52"/>
      <c r="AA68" s="52"/>
      <c r="AB68" s="52"/>
      <c r="AC68" s="52"/>
      <c r="AD68" s="52"/>
      <c r="AE68" s="52"/>
      <c r="AF68" s="52"/>
      <c r="AG68" s="52"/>
      <c r="AH68" s="52"/>
      <c r="AI68" s="52"/>
      <c r="AJ68" s="52"/>
      <c r="AK68" s="52"/>
      <c r="AL68" s="52"/>
      <c r="AM68" s="52"/>
      <c r="AN68" s="52"/>
      <c r="AO68" s="52"/>
      <c r="AP68" s="52"/>
      <c r="AQ68" s="52"/>
      <c r="AR68" s="52"/>
      <c r="AS68" s="52"/>
      <c r="AT68" s="52"/>
      <c r="AU68" s="58"/>
      <c r="AV68" s="58"/>
      <c r="AW68" s="58"/>
      <c r="AX68" s="58"/>
      <c r="AY68" s="58"/>
      <c r="AZ68" s="58"/>
      <c r="BA68" s="58"/>
      <c r="BB68" s="58"/>
      <c r="BC68" s="58"/>
      <c r="BD68" s="58"/>
      <c r="BE68" s="56"/>
      <c r="BF68" s="61"/>
      <c r="BG68" s="61"/>
      <c r="BH68" s="58"/>
      <c r="BI68" s="58"/>
      <c r="BJ68" s="58"/>
      <c r="BK68" s="58"/>
      <c r="BL68" s="52"/>
      <c r="BM68" s="52"/>
      <c r="BN68" s="52"/>
      <c r="BO68" s="52"/>
      <c r="BP68" s="99"/>
    </row>
    <row r="69" spans="2:68" ht="15" customHeight="1">
      <c r="B69" s="38">
        <v>61</v>
      </c>
      <c r="C69" s="36">
        <v>43291.791666666664</v>
      </c>
      <c r="D69" s="37">
        <v>57</v>
      </c>
      <c r="E69" s="37">
        <v>58</v>
      </c>
      <c r="F69" s="120"/>
      <c r="G69" s="74">
        <f>C69+TimesInd/24</f>
        <v>43291.9375</v>
      </c>
      <c r="H69" s="75" t="str">
        <f>TEXT(G69,"ddd")</f>
        <v>Tue</v>
      </c>
      <c r="I69" s="76" t="str">
        <f>IF(VLOOKUP(D69,$B$55:$P$73,15,FALSE)="","",VLOOKUP(D69,$B$55:$P$73,15,FALSE))</f>
        <v/>
      </c>
      <c r="J69" s="76" t="str">
        <f>IF(VLOOKUP(E69,$B$55:$P$73,15,FALSE)="","",VLOOKUP(E69,$B$55:$P$73,15,FALSE))</f>
        <v/>
      </c>
      <c r="K69" s="132"/>
      <c r="L69" s="132"/>
      <c r="M69" s="84"/>
      <c r="N69" s="135"/>
      <c r="O69" s="135"/>
      <c r="P69" s="58" t="str">
        <f>IF(K69+N69&gt;L69+O69,I69,IF(K69+N69&lt;L69+O69,J69,""))</f>
        <v/>
      </c>
      <c r="Q69" s="100" t="str">
        <f>IF(K69+N69&lt;L69+O69,I69,IF(K69+N69&gt;L69+O69,J69,""))</f>
        <v/>
      </c>
      <c r="R69" s="57"/>
      <c r="S69" s="51"/>
      <c r="T69" s="51"/>
      <c r="U69" s="51"/>
      <c r="V69" s="51"/>
      <c r="W69" s="51"/>
      <c r="X69" s="51"/>
      <c r="Y69" s="51"/>
      <c r="Z69" s="52"/>
      <c r="AA69" s="52"/>
      <c r="AB69" s="52"/>
      <c r="AC69" s="52"/>
      <c r="AD69" s="52"/>
      <c r="AE69" s="52"/>
      <c r="AF69" s="52"/>
      <c r="AG69" s="52"/>
      <c r="AH69" s="52"/>
      <c r="AI69" s="52"/>
      <c r="AJ69" s="52"/>
      <c r="AK69" s="52"/>
      <c r="AL69" s="52"/>
      <c r="AM69" s="52"/>
      <c r="AN69" s="52"/>
      <c r="AO69" s="52"/>
      <c r="AP69" s="52"/>
      <c r="AQ69" s="52"/>
      <c r="AR69" s="52"/>
      <c r="AS69" s="52"/>
      <c r="AT69" s="52"/>
      <c r="AU69" s="58"/>
      <c r="AV69" s="58"/>
      <c r="AW69" s="58"/>
      <c r="AX69" s="58"/>
      <c r="AY69" s="58"/>
      <c r="AZ69" s="58"/>
      <c r="BA69" s="58"/>
      <c r="BB69" s="58"/>
      <c r="BC69" s="58"/>
      <c r="BD69" s="58"/>
      <c r="BE69" s="58"/>
      <c r="BF69" s="58"/>
      <c r="BG69" s="58"/>
      <c r="BH69" s="58"/>
      <c r="BI69" s="58"/>
      <c r="BJ69" s="58"/>
      <c r="BK69" s="58"/>
      <c r="BL69" s="52"/>
      <c r="BM69" s="52"/>
      <c r="BN69" s="52"/>
      <c r="BO69" s="52"/>
      <c r="BP69" s="98"/>
    </row>
    <row r="70" spans="2:68" ht="15" customHeight="1">
      <c r="B70" s="38">
        <v>62</v>
      </c>
      <c r="C70" s="36">
        <v>43292.791666666664</v>
      </c>
      <c r="D70" s="37">
        <v>59</v>
      </c>
      <c r="E70" s="37">
        <v>60</v>
      </c>
      <c r="F70" s="120"/>
      <c r="G70" s="74">
        <f>C70+TimesInd/24</f>
        <v>43292.9375</v>
      </c>
      <c r="H70" s="75" t="str">
        <f>TEXT(G70,"ddd")</f>
        <v>Wed</v>
      </c>
      <c r="I70" s="76" t="str">
        <f>IF(VLOOKUP(D70,$B$55:$P$73,15,FALSE)="","",VLOOKUP(D70,$B$55:$P$73,15,FALSE))</f>
        <v/>
      </c>
      <c r="J70" s="76" t="str">
        <f>IF(VLOOKUP(E70,$B$55:$P$73,15,FALSE)="","",VLOOKUP(E70,$B$55:$P$73,15,FALSE))</f>
        <v/>
      </c>
      <c r="K70" s="132"/>
      <c r="L70" s="132"/>
      <c r="M70" s="84"/>
      <c r="N70" s="135"/>
      <c r="O70" s="135"/>
      <c r="P70" s="58" t="str">
        <f>IF(K70+N70&gt;L70+O70,I70,IF(K70+N70&lt;L70+O70,J70,""))</f>
        <v/>
      </c>
      <c r="Q70" s="100" t="str">
        <f>IF(K70+N70&lt;L70+O70,I70,IF(K70+N70&gt;L70+O70,J70,""))</f>
        <v/>
      </c>
      <c r="R70" s="57"/>
      <c r="S70" s="51"/>
      <c r="T70" s="51"/>
      <c r="U70" s="51"/>
      <c r="V70" s="51"/>
      <c r="W70" s="51"/>
      <c r="X70" s="51"/>
      <c r="Y70" s="51"/>
      <c r="Z70" s="52"/>
      <c r="AA70" s="52"/>
      <c r="AB70" s="52"/>
      <c r="AC70" s="52"/>
      <c r="AD70" s="52"/>
      <c r="AE70" s="52"/>
      <c r="AF70" s="52"/>
      <c r="AG70" s="52"/>
      <c r="AH70" s="52"/>
      <c r="AI70" s="52"/>
      <c r="AJ70" s="52"/>
      <c r="AK70" s="52"/>
      <c r="AL70" s="52"/>
      <c r="AM70" s="52"/>
      <c r="AN70" s="52"/>
      <c r="AO70" s="52"/>
      <c r="AP70" s="52"/>
      <c r="AQ70" s="52"/>
      <c r="AR70" s="52"/>
      <c r="AS70" s="52"/>
      <c r="AT70" s="52"/>
      <c r="AU70" s="58"/>
      <c r="AV70" s="58"/>
      <c r="AW70" s="58"/>
      <c r="AX70" s="58"/>
      <c r="AY70" s="58"/>
      <c r="AZ70" s="58"/>
      <c r="BA70" s="58"/>
      <c r="BB70" s="58"/>
      <c r="BC70" s="58"/>
      <c r="BD70" s="58"/>
      <c r="BE70" s="58"/>
      <c r="BF70" s="58"/>
      <c r="BG70" s="58"/>
      <c r="BH70" s="58"/>
      <c r="BI70" s="58"/>
      <c r="BJ70" s="58"/>
      <c r="BK70" s="58"/>
      <c r="BL70" s="52"/>
      <c r="BM70" s="52"/>
      <c r="BN70" s="52"/>
      <c r="BO70" s="52"/>
      <c r="BP70" s="98"/>
    </row>
    <row r="71" spans="2:68" ht="9.9499999999999993" customHeight="1">
      <c r="B71" s="38"/>
      <c r="C71" s="35"/>
      <c r="D71" s="38"/>
      <c r="E71" s="38"/>
      <c r="F71" s="119"/>
      <c r="G71" s="115"/>
      <c r="H71" s="115"/>
      <c r="I71" s="122"/>
      <c r="J71" s="122"/>
      <c r="K71" s="134" t="s">
        <v>253</v>
      </c>
      <c r="L71" s="134" t="s">
        <v>253</v>
      </c>
      <c r="M71" s="124"/>
      <c r="N71" s="134"/>
      <c r="O71" s="134"/>
      <c r="P71" s="58"/>
      <c r="Q71" s="51"/>
      <c r="R71" s="55"/>
      <c r="S71" s="51"/>
      <c r="T71" s="51"/>
      <c r="U71" s="51"/>
      <c r="V71" s="51"/>
      <c r="W71" s="51"/>
      <c r="X71" s="51"/>
      <c r="Y71" s="51"/>
      <c r="Z71" s="52"/>
      <c r="AA71" s="52"/>
      <c r="AB71" s="52"/>
      <c r="AC71" s="52"/>
      <c r="AD71" s="52"/>
      <c r="AE71" s="52"/>
      <c r="AF71" s="52"/>
      <c r="AG71" s="52"/>
      <c r="AH71" s="52"/>
      <c r="AI71" s="52"/>
      <c r="AJ71" s="52"/>
      <c r="AK71" s="52"/>
      <c r="AL71" s="52"/>
      <c r="AM71" s="52"/>
      <c r="AN71" s="52"/>
      <c r="AO71" s="52"/>
      <c r="AP71" s="52"/>
      <c r="AQ71" s="52"/>
      <c r="AR71" s="52"/>
      <c r="AS71" s="52"/>
      <c r="AT71" s="52"/>
      <c r="AU71" s="58"/>
      <c r="AV71" s="58"/>
      <c r="AW71" s="58"/>
      <c r="AX71" s="58"/>
      <c r="AY71" s="58"/>
      <c r="AZ71" s="58"/>
      <c r="BA71" s="58"/>
      <c r="BB71" s="58"/>
      <c r="BC71" s="58"/>
      <c r="BD71" s="58"/>
      <c r="BE71" s="56"/>
      <c r="BF71" s="61"/>
      <c r="BG71" s="61"/>
      <c r="BH71" s="58"/>
      <c r="BI71" s="58"/>
      <c r="BJ71" s="58"/>
      <c r="BK71" s="58"/>
      <c r="BL71" s="52"/>
      <c r="BM71" s="52"/>
      <c r="BN71" s="52"/>
      <c r="BO71" s="52"/>
      <c r="BP71" s="99"/>
    </row>
    <row r="72" spans="2:68" ht="15" customHeight="1">
      <c r="B72" s="38">
        <v>63</v>
      </c>
      <c r="C72" s="36">
        <v>43295.666666666664</v>
      </c>
      <c r="D72" s="37">
        <v>61</v>
      </c>
      <c r="E72" s="37">
        <v>62</v>
      </c>
      <c r="F72" s="120"/>
      <c r="G72" s="74">
        <f>C72+TimesInd/24</f>
        <v>43295.8125</v>
      </c>
      <c r="H72" s="75" t="str">
        <f>TEXT(G72,"ddd")</f>
        <v>Sat</v>
      </c>
      <c r="I72" s="76" t="str">
        <f>VLOOKUP(D72,$B$55:$Q$73,16,FALSE)</f>
        <v/>
      </c>
      <c r="J72" s="76" t="str">
        <f>VLOOKUP(E72,$B$55:$Q$73,16,FALSE)</f>
        <v/>
      </c>
      <c r="K72" s="132"/>
      <c r="L72" s="132"/>
      <c r="M72" s="84"/>
      <c r="N72" s="135"/>
      <c r="O72" s="135"/>
      <c r="P72" s="58"/>
      <c r="Q72" s="59"/>
      <c r="R72" s="57"/>
      <c r="S72" s="51"/>
      <c r="T72" s="51"/>
      <c r="U72" s="51"/>
      <c r="V72" s="51"/>
      <c r="W72" s="51"/>
      <c r="X72" s="51"/>
      <c r="Y72" s="51"/>
      <c r="Z72" s="52"/>
      <c r="AA72" s="52"/>
      <c r="AB72" s="52"/>
      <c r="AC72" s="52"/>
      <c r="AD72" s="52"/>
      <c r="AE72" s="52"/>
      <c r="AF72" s="52"/>
      <c r="AG72" s="52"/>
      <c r="AH72" s="52"/>
      <c r="AI72" s="52"/>
      <c r="AJ72" s="52"/>
      <c r="AK72" s="52"/>
      <c r="AL72" s="52"/>
      <c r="AM72" s="52"/>
      <c r="AN72" s="52"/>
      <c r="AO72" s="52"/>
      <c r="AP72" s="52"/>
      <c r="AQ72" s="52"/>
      <c r="AR72" s="52"/>
      <c r="AS72" s="52"/>
      <c r="AT72" s="52"/>
      <c r="AU72" s="58"/>
      <c r="AV72" s="58"/>
      <c r="AW72" s="58"/>
      <c r="AX72" s="58"/>
      <c r="AY72" s="58"/>
      <c r="AZ72" s="58"/>
      <c r="BA72" s="58"/>
      <c r="BB72" s="58"/>
      <c r="BC72" s="58"/>
      <c r="BD72" s="58"/>
      <c r="BE72" s="58"/>
      <c r="BF72" s="58"/>
      <c r="BG72" s="58"/>
      <c r="BH72" s="58"/>
      <c r="BI72" s="58"/>
      <c r="BJ72" s="58"/>
      <c r="BK72" s="58"/>
      <c r="BL72" s="52"/>
      <c r="BM72" s="52"/>
      <c r="BN72" s="52"/>
      <c r="BO72" s="52"/>
      <c r="BP72" s="98"/>
    </row>
    <row r="73" spans="2:68" ht="15" customHeight="1">
      <c r="B73" s="38">
        <v>64</v>
      </c>
      <c r="C73" s="36">
        <v>43296.625</v>
      </c>
      <c r="D73" s="37">
        <v>61</v>
      </c>
      <c r="E73" s="37">
        <v>62</v>
      </c>
      <c r="F73" s="120"/>
      <c r="G73" s="74">
        <f>C73+TimesInd/24</f>
        <v>43296.770833333336</v>
      </c>
      <c r="H73" s="75" t="str">
        <f>TEXT(G73,"ddd")</f>
        <v>Sun</v>
      </c>
      <c r="I73" s="76" t="str">
        <f>IF(VLOOKUP(D73,$B$55:$P$73,15,FALSE)="","",VLOOKUP(D73,$B$55:$P$73,15,FALSE))</f>
        <v/>
      </c>
      <c r="J73" s="76" t="str">
        <f>IF(VLOOKUP(E73,$B$55:$P$73,15,FALSE)="","",VLOOKUP(E73,$B$55:$P$73,15,FALSE))</f>
        <v/>
      </c>
      <c r="K73" s="132"/>
      <c r="L73" s="132"/>
      <c r="M73" s="84"/>
      <c r="N73" s="135"/>
      <c r="O73" s="135"/>
      <c r="P73" s="58" t="str">
        <f>IF(K73+N73&gt;L73+O73,I73,IF(K73+N73&lt;L73+O73,J73,""))</f>
        <v/>
      </c>
      <c r="Q73" s="59"/>
      <c r="R73" s="57"/>
      <c r="S73" s="51"/>
      <c r="T73" s="51"/>
      <c r="U73" s="51"/>
      <c r="V73" s="51"/>
      <c r="W73" s="51"/>
      <c r="X73" s="51"/>
      <c r="Y73" s="51"/>
      <c r="Z73" s="52"/>
      <c r="AA73" s="52"/>
      <c r="AB73" s="52"/>
      <c r="AC73" s="52"/>
      <c r="AD73" s="52"/>
      <c r="AE73" s="52"/>
      <c r="AF73" s="52"/>
      <c r="AG73" s="52"/>
      <c r="AH73" s="52"/>
      <c r="AI73" s="52"/>
      <c r="AJ73" s="52"/>
      <c r="AK73" s="52"/>
      <c r="AL73" s="52"/>
      <c r="AM73" s="52"/>
      <c r="AN73" s="52"/>
      <c r="AO73" s="52"/>
      <c r="AP73" s="52"/>
      <c r="AQ73" s="52"/>
      <c r="AR73" s="52"/>
      <c r="AS73" s="52"/>
      <c r="AT73" s="52"/>
      <c r="AU73" s="58"/>
      <c r="AV73" s="58"/>
      <c r="AW73" s="58"/>
      <c r="AX73" s="58"/>
      <c r="AY73" s="58"/>
      <c r="AZ73" s="58"/>
      <c r="BA73" s="58"/>
      <c r="BB73" s="58"/>
      <c r="BC73" s="58"/>
      <c r="BD73" s="58"/>
      <c r="BE73" s="58"/>
      <c r="BF73" s="58"/>
      <c r="BG73" s="58"/>
      <c r="BH73" s="58"/>
      <c r="BI73" s="58"/>
      <c r="BJ73" s="58"/>
      <c r="BK73" s="58"/>
      <c r="BL73" s="52"/>
      <c r="BM73" s="52"/>
      <c r="BN73" s="52"/>
      <c r="BO73" s="195"/>
      <c r="BP73" s="98"/>
    </row>
    <row r="74" spans="2:68" ht="9.9499999999999993" customHeight="1" thickBot="1">
      <c r="B74" s="21"/>
      <c r="C74" s="21"/>
      <c r="D74" s="21"/>
      <c r="E74" s="21"/>
      <c r="F74" s="121"/>
      <c r="G74" s="125"/>
      <c r="H74" s="125"/>
      <c r="I74" s="125"/>
      <c r="J74" s="125"/>
      <c r="K74" s="126"/>
      <c r="L74" s="126"/>
      <c r="M74" s="127"/>
      <c r="N74" s="126"/>
      <c r="O74" s="126"/>
      <c r="P74" s="102"/>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3"/>
    </row>
  </sheetData>
  <sheetProtection algorithmName="SHA-512" hashValue="yIIsQ/Yl8urXyvhJNW0YbyR9Sbhemh0khxUkfjbCD+YPp8VAi+vHZB1kz+tKiwe/9inU+8N5nEltfDLDTnD3Aw==" saltValue="Cuo4/mtBfGkooc/1TVGZ0A==" spinCount="100000" sheet="1" objects="1" scenarios="1" selectLockedCells="1"/>
  <mergeCells count="51">
    <mergeCell ref="B2:E2"/>
    <mergeCell ref="Z3:AR3"/>
    <mergeCell ref="G3:H3"/>
    <mergeCell ref="N5:O5"/>
    <mergeCell ref="AS6:BD6"/>
    <mergeCell ref="Q3:R3"/>
    <mergeCell ref="K5:L5"/>
    <mergeCell ref="AS3:BD3"/>
    <mergeCell ref="N6:O11"/>
    <mergeCell ref="AS42:BD42"/>
    <mergeCell ref="BH30:BK30"/>
    <mergeCell ref="BH36:BK36"/>
    <mergeCell ref="AS30:BD30"/>
    <mergeCell ref="N48:O53"/>
    <mergeCell ref="N42:O47"/>
    <mergeCell ref="AS53:BD53"/>
    <mergeCell ref="BH47:BK47"/>
    <mergeCell ref="BH53:BK53"/>
    <mergeCell ref="BH48:BK48"/>
    <mergeCell ref="BH42:BK42"/>
    <mergeCell ref="AS47:BD47"/>
    <mergeCell ref="AS48:BD48"/>
    <mergeCell ref="N36:O41"/>
    <mergeCell ref="AS36:BD36"/>
    <mergeCell ref="N12:O17"/>
    <mergeCell ref="N18:O23"/>
    <mergeCell ref="N24:O29"/>
    <mergeCell ref="N30:O35"/>
    <mergeCell ref="BH6:BK6"/>
    <mergeCell ref="AS11:BD11"/>
    <mergeCell ref="AS17:BD17"/>
    <mergeCell ref="BH11:BK11"/>
    <mergeCell ref="BH17:BK17"/>
    <mergeCell ref="BH23:BK23"/>
    <mergeCell ref="AS12:BD12"/>
    <mergeCell ref="BN3:BO3"/>
    <mergeCell ref="BL3:BM3"/>
    <mergeCell ref="AS29:BD29"/>
    <mergeCell ref="AS35:BD35"/>
    <mergeCell ref="AS41:BD41"/>
    <mergeCell ref="BH29:BK29"/>
    <mergeCell ref="BH35:BK35"/>
    <mergeCell ref="BH41:BK41"/>
    <mergeCell ref="BE3:BK3"/>
    <mergeCell ref="BH12:BK12"/>
    <mergeCell ref="AS18:BD18"/>
    <mergeCell ref="BH18:BK18"/>
    <mergeCell ref="AS24:BD24"/>
    <mergeCell ref="BH24:BK24"/>
    <mergeCell ref="AS23:BD23"/>
    <mergeCell ref="BL4:BO4"/>
  </mergeCells>
  <conditionalFormatting sqref="Y15">
    <cfRule type="expression" dxfId="88" priority="190">
      <formula>IF(MATCH(B_3th,AwansList,0)&lt;5,1,0)</formula>
    </cfRule>
  </conditionalFormatting>
  <conditionalFormatting sqref="Y21">
    <cfRule type="expression" dxfId="87" priority="185">
      <formula>IF(MATCH(C_3th,AwansList,0)&lt;5,1,0)</formula>
    </cfRule>
  </conditionalFormatting>
  <conditionalFormatting sqref="Y27">
    <cfRule type="expression" dxfId="86" priority="184">
      <formula>IF(MATCH(D_3th,AwansList,0)&lt;5,1,0)</formula>
    </cfRule>
  </conditionalFormatting>
  <conditionalFormatting sqref="Y33">
    <cfRule type="expression" dxfId="85" priority="183">
      <formula>IF(MATCH(E_3th,AwansList,0)&lt;5,1,0)</formula>
    </cfRule>
  </conditionalFormatting>
  <conditionalFormatting sqref="Q9:Y9">
    <cfRule type="expression" dxfId="84" priority="181">
      <formula>IF(MATCH(A_3th,AwansList,0)&lt;5,1,0)</formula>
    </cfRule>
  </conditionalFormatting>
  <conditionalFormatting sqref="Y39">
    <cfRule type="expression" dxfId="83" priority="166">
      <formula>IF(MATCH(F_3th,AwansList,0)&lt;5,1,0)</formula>
    </cfRule>
  </conditionalFormatting>
  <conditionalFormatting sqref="I6:I62 I64:I67 I69:I70 I72:I73">
    <cfRule type="expression" dxfId="82" priority="164">
      <formula>IF(K6&gt;L6,1,0)</formula>
    </cfRule>
  </conditionalFormatting>
  <conditionalFormatting sqref="J6:J62 J64:J67 J69:J70 J72:J73">
    <cfRule type="expression" dxfId="81" priority="163">
      <formula>IF(K6&lt;L6,1,0)</formula>
    </cfRule>
  </conditionalFormatting>
  <conditionalFormatting sqref="N55:O62 N64:O67 N69:O70 N72:O73">
    <cfRule type="expression" dxfId="80" priority="191" stopIfTrue="1">
      <formula>IF(AND($K55&lt;&gt;"",$K55=$L55),1,0)</formula>
    </cfRule>
  </conditionalFormatting>
  <conditionalFormatting sqref="N55:N62 N64:N67 N69:N70 N72:N73">
    <cfRule type="expression" dxfId="79" priority="83" stopIfTrue="1">
      <formula>IF(AND(K55&lt;&gt;L55,N55&lt;&gt;0),1,0)</formula>
    </cfRule>
  </conditionalFormatting>
  <conditionalFormatting sqref="BL7:BO10">
    <cfRule type="containsBlanks" dxfId="78" priority="130">
      <formula>LEN(TRIM(BL7))=0</formula>
    </cfRule>
    <cfRule type="expression" dxfId="77" priority="131">
      <formula>IF($T7&gt;3,1,0)</formula>
    </cfRule>
    <cfRule type="notContainsBlanks" dxfId="76" priority="132">
      <formula>LEN(TRIM(BL7))&gt;0</formula>
    </cfRule>
  </conditionalFormatting>
  <conditionalFormatting sqref="BL13:BN16">
    <cfRule type="containsBlanks" dxfId="75" priority="112">
      <formula>LEN(TRIM(BL13))=0</formula>
    </cfRule>
    <cfRule type="expression" dxfId="74" priority="113">
      <formula>IF($T13&gt;3,1,0)</formula>
    </cfRule>
    <cfRule type="notContainsBlanks" dxfId="73" priority="114">
      <formula>LEN(TRIM(BL13))&gt;0</formula>
    </cfRule>
  </conditionalFormatting>
  <conditionalFormatting sqref="BL19:BN22">
    <cfRule type="containsBlanks" dxfId="72" priority="109">
      <formula>LEN(TRIM(BL19))=0</formula>
    </cfRule>
    <cfRule type="expression" dxfId="71" priority="110">
      <formula>IF($T19&gt;3,1,0)</formula>
    </cfRule>
    <cfRule type="notContainsBlanks" dxfId="70" priority="111">
      <formula>LEN(TRIM(BL19))&gt;0</formula>
    </cfRule>
  </conditionalFormatting>
  <conditionalFormatting sqref="BL25:BN28">
    <cfRule type="containsBlanks" dxfId="69" priority="106">
      <formula>LEN(TRIM(BL25))=0</formula>
    </cfRule>
    <cfRule type="expression" dxfId="68" priority="107">
      <formula>IF($T25&gt;3,1,0)</formula>
    </cfRule>
    <cfRule type="notContainsBlanks" dxfId="67" priority="108">
      <formula>LEN(TRIM(BL25))&gt;0</formula>
    </cfRule>
  </conditionalFormatting>
  <conditionalFormatting sqref="BL31:BN34">
    <cfRule type="containsBlanks" dxfId="66" priority="103">
      <formula>LEN(TRIM(BL31))=0</formula>
    </cfRule>
    <cfRule type="expression" dxfId="65" priority="104">
      <formula>IF($T31&gt;3,1,0)</formula>
    </cfRule>
    <cfRule type="notContainsBlanks" dxfId="64" priority="105">
      <formula>LEN(TRIM(BL31))&gt;0</formula>
    </cfRule>
  </conditionalFormatting>
  <conditionalFormatting sqref="BL37:BN40">
    <cfRule type="containsBlanks" dxfId="63" priority="100">
      <formula>LEN(TRIM(BL37))=0</formula>
    </cfRule>
    <cfRule type="expression" dxfId="62" priority="101">
      <formula>IF($T37&gt;3,1,0)</formula>
    </cfRule>
    <cfRule type="notContainsBlanks" dxfId="61" priority="102">
      <formula>LEN(TRIM(BL37))&gt;0</formula>
    </cfRule>
  </conditionalFormatting>
  <conditionalFormatting sqref="BO13:BO16">
    <cfRule type="containsBlanks" dxfId="60" priority="97">
      <formula>LEN(TRIM(BO13))=0</formula>
    </cfRule>
    <cfRule type="expression" dxfId="59" priority="98">
      <formula>IF($T13&gt;3,1,0)</formula>
    </cfRule>
    <cfRule type="notContainsBlanks" dxfId="58" priority="99">
      <formula>LEN(TRIM(BO13))&gt;0</formula>
    </cfRule>
  </conditionalFormatting>
  <conditionalFormatting sqref="BO19:BO22">
    <cfRule type="containsBlanks" dxfId="57" priority="94">
      <formula>LEN(TRIM(BO19))=0</formula>
    </cfRule>
    <cfRule type="expression" dxfId="56" priority="95">
      <formula>IF($T19&gt;3,1,0)</formula>
    </cfRule>
    <cfRule type="notContainsBlanks" dxfId="55" priority="96">
      <formula>LEN(TRIM(BO19))&gt;0</formula>
    </cfRule>
  </conditionalFormatting>
  <conditionalFormatting sqref="BO25:BO28">
    <cfRule type="containsBlanks" dxfId="54" priority="91">
      <formula>LEN(TRIM(BO25))=0</formula>
    </cfRule>
    <cfRule type="expression" dxfId="53" priority="92">
      <formula>IF($T25&gt;3,1,0)</formula>
    </cfRule>
    <cfRule type="notContainsBlanks" dxfId="52" priority="93">
      <formula>LEN(TRIM(BO25))&gt;0</formula>
    </cfRule>
  </conditionalFormatting>
  <conditionalFormatting sqref="BO31:BO34">
    <cfRule type="containsBlanks" dxfId="51" priority="88">
      <formula>LEN(TRIM(BO31))=0</formula>
    </cfRule>
    <cfRule type="expression" dxfId="50" priority="89">
      <formula>IF($T31&gt;3,1,0)</formula>
    </cfRule>
    <cfRule type="notContainsBlanks" dxfId="49" priority="90">
      <formula>LEN(TRIM(BO31))&gt;0</formula>
    </cfRule>
  </conditionalFormatting>
  <conditionalFormatting sqref="BO37:BO40">
    <cfRule type="containsBlanks" dxfId="48" priority="85">
      <formula>LEN(TRIM(BO37))=0</formula>
    </cfRule>
    <cfRule type="expression" dxfId="47" priority="86">
      <formula>IF($T37&gt;3,1,0)</formula>
    </cfRule>
    <cfRule type="notContainsBlanks" dxfId="46" priority="87">
      <formula>LEN(TRIM(BO37))&gt;0</formula>
    </cfRule>
  </conditionalFormatting>
  <conditionalFormatting sqref="O55:O62 O64:O67 O69:O70 O72:O73">
    <cfRule type="expression" dxfId="45" priority="67" stopIfTrue="1">
      <formula>IF(AND(L55&lt;&gt;K55,O55&lt;&gt;0),1,0)</formula>
    </cfRule>
  </conditionalFormatting>
  <conditionalFormatting sqref="Y45">
    <cfRule type="expression" dxfId="44" priority="60">
      <formula>IF(MATCH(F_3th,AwansList,0)&lt;5,1,0)</formula>
    </cfRule>
  </conditionalFormatting>
  <conditionalFormatting sqref="BL43:BN46">
    <cfRule type="containsBlanks" dxfId="43" priority="57">
      <formula>LEN(TRIM(BL43))=0</formula>
    </cfRule>
    <cfRule type="expression" dxfId="42" priority="58">
      <formula>IF($T43&gt;3,1,0)</formula>
    </cfRule>
    <cfRule type="notContainsBlanks" dxfId="41" priority="59">
      <formula>LEN(TRIM(BL43))&gt;0</formula>
    </cfRule>
  </conditionalFormatting>
  <conditionalFormatting sqref="BO43:BO46">
    <cfRule type="containsBlanks" dxfId="40" priority="54">
      <formula>LEN(TRIM(BO43))=0</formula>
    </cfRule>
    <cfRule type="expression" dxfId="39" priority="55">
      <formula>IF($T43&gt;3,1,0)</formula>
    </cfRule>
    <cfRule type="notContainsBlanks" dxfId="38" priority="56">
      <formula>LEN(TRIM(BO43))&gt;0</formula>
    </cfRule>
  </conditionalFormatting>
  <conditionalFormatting sqref="Y51">
    <cfRule type="expression" dxfId="37" priority="53">
      <formula>IF(MATCH(F_3th,AwansList,0)&lt;5,1,0)</formula>
    </cfRule>
  </conditionalFormatting>
  <conditionalFormatting sqref="BL49:BO52">
    <cfRule type="containsBlanks" dxfId="36" priority="50">
      <formula>LEN(TRIM(BL49))=0</formula>
    </cfRule>
    <cfRule type="expression" dxfId="35" priority="51">
      <formula>IF($T49&gt;3,1,0)</formula>
    </cfRule>
    <cfRule type="notContainsBlanks" dxfId="34" priority="52">
      <formula>LEN(TRIM(BL49))&gt;0</formula>
    </cfRule>
  </conditionalFormatting>
  <conditionalFormatting sqref="BO49:BO52">
    <cfRule type="containsBlanks" dxfId="33" priority="47">
      <formula>LEN(TRIM(BO49))=0</formula>
    </cfRule>
    <cfRule type="expression" dxfId="32" priority="48">
      <formula>IF($T49&gt;3,1,0)</formula>
    </cfRule>
    <cfRule type="notContainsBlanks" dxfId="31" priority="49">
      <formula>LEN(TRIM(BO49))&gt;0</formula>
    </cfRule>
  </conditionalFormatting>
  <conditionalFormatting sqref="Q15:X15">
    <cfRule type="expression" dxfId="30" priority="35">
      <formula>IF(MATCH(A_3th,AwansList,0)&lt;5,1,0)</formula>
    </cfRule>
  </conditionalFormatting>
  <conditionalFormatting sqref="Q21:X21">
    <cfRule type="expression" dxfId="29" priority="34">
      <formula>IF(MATCH(A_3th,AwansList,0)&lt;5,1,0)</formula>
    </cfRule>
  </conditionalFormatting>
  <conditionalFormatting sqref="Q27:X27">
    <cfRule type="expression" dxfId="28" priority="33">
      <formula>IF(MATCH(A_3th,AwansList,0)&lt;5,1,0)</formula>
    </cfRule>
  </conditionalFormatting>
  <conditionalFormatting sqref="Q33:X33">
    <cfRule type="expression" dxfId="27" priority="32">
      <formula>IF(MATCH(A_3th,AwansList,0)&lt;5,1,0)</formula>
    </cfRule>
  </conditionalFormatting>
  <conditionalFormatting sqref="Q39:X39">
    <cfRule type="expression" dxfId="26" priority="31">
      <formula>IF(MATCH(A_3th,AwansList,0)&lt;5,1,0)</formula>
    </cfRule>
  </conditionalFormatting>
  <conditionalFormatting sqref="Q45:X45">
    <cfRule type="expression" dxfId="25" priority="30">
      <formula>IF(MATCH(A_3th,AwansList,0)&lt;5,1,0)</formula>
    </cfRule>
  </conditionalFormatting>
  <conditionalFormatting sqref="Q51:X51">
    <cfRule type="expression" dxfId="24" priority="29">
      <formula>IF(MATCH(A_3th,AwansList,0)&lt;5,1,0)</formula>
    </cfRule>
  </conditionalFormatting>
  <conditionalFormatting sqref="I55:J62">
    <cfRule type="expression" dxfId="23" priority="18">
      <formula>IF(VLOOKUP(I55,$R$6:$S$53,2,FALSE)=3,0,1)</formula>
    </cfRule>
  </conditionalFormatting>
  <conditionalFormatting sqref="K6:L62 K64:L67 K69:L70 K72:L73">
    <cfRule type="containsBlanks" dxfId="22" priority="16">
      <formula>LEN(TRIM(K6))=0</formula>
    </cfRule>
  </conditionalFormatting>
  <conditionalFormatting sqref="N55:O62 N64:O67 N69:O70 N72:O73">
    <cfRule type="notContainsBlanks" dxfId="21" priority="151" stopIfTrue="1">
      <formula>LEN(TRIM(N55))&gt;0</formula>
    </cfRule>
  </conditionalFormatting>
  <conditionalFormatting sqref="I63">
    <cfRule type="expression" dxfId="20" priority="11">
      <formula>IF(K63&gt;L63,1,0)</formula>
    </cfRule>
  </conditionalFormatting>
  <conditionalFormatting sqref="J63">
    <cfRule type="expression" dxfId="19" priority="10">
      <formula>IF(K63&lt;L63,1,0)</formula>
    </cfRule>
  </conditionalFormatting>
  <conditionalFormatting sqref="K63:L63">
    <cfRule type="containsBlanks" dxfId="18" priority="9">
      <formula>LEN(TRIM(K63))=0</formula>
    </cfRule>
  </conditionalFormatting>
  <conditionalFormatting sqref="I68">
    <cfRule type="expression" dxfId="17" priority="8">
      <formula>IF(K68&gt;L68,1,0)</formula>
    </cfRule>
  </conditionalFormatting>
  <conditionalFormatting sqref="J68">
    <cfRule type="expression" dxfId="16" priority="7">
      <formula>IF(K68&lt;L68,1,0)</formula>
    </cfRule>
  </conditionalFormatting>
  <conditionalFormatting sqref="K68:L68">
    <cfRule type="containsBlanks" dxfId="15" priority="6">
      <formula>LEN(TRIM(K68))=0</formula>
    </cfRule>
  </conditionalFormatting>
  <conditionalFormatting sqref="I71">
    <cfRule type="expression" dxfId="14" priority="5">
      <formula>IF(K71&gt;L71,1,0)</formula>
    </cfRule>
  </conditionalFormatting>
  <conditionalFormatting sqref="J71">
    <cfRule type="expression" dxfId="13" priority="4">
      <formula>IF(K71&lt;L71,1,0)</formula>
    </cfRule>
  </conditionalFormatting>
  <conditionalFormatting sqref="K71:L71">
    <cfRule type="containsBlanks" dxfId="12" priority="3">
      <formula>LEN(TRIM(K71))=0</formula>
    </cfRule>
  </conditionalFormatting>
  <conditionalFormatting sqref="I6:J73 R7:R52">
    <cfRule type="expression" dxfId="11" priority="1">
      <formula>I6=team</formula>
    </cfRule>
  </conditionalFormatting>
  <dataValidations count="3">
    <dataValidation type="list" allowBlank="1" showInputMessage="1" showErrorMessage="1" sqref="G3" xr:uid="{00000000-0002-0000-0000-000000000000}">
      <formula1>cities</formula1>
    </dataValidation>
    <dataValidation type="whole" allowBlank="1" showInputMessage="1" showErrorMessage="1" sqref="K6:M53 K75:M1048576 I3 K64:L67 K69:L70 K72:L73 K55:L62 M54:M74 G3 K2:M2" xr:uid="{00000000-0002-0000-0000-000001000000}">
      <formula1>0</formula1>
      <formula2>9</formula2>
    </dataValidation>
    <dataValidation type="list" allowBlank="1" showInputMessage="1" showErrorMessage="1" sqref="Q3" xr:uid="{1FFA16BD-3439-4971-B50C-C82CA4ABE0F6}">
      <formula1>teams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B2:X73"/>
  <sheetViews>
    <sheetView showGridLines="0" zoomScaleNormal="100" workbookViewId="0">
      <selection activeCell="O26" sqref="O26"/>
    </sheetView>
  </sheetViews>
  <sheetFormatPr defaultRowHeight="15"/>
  <cols>
    <col min="1" max="1" width="3.7109375" style="30" customWidth="1"/>
    <col min="2" max="2" width="2.7109375" style="30" customWidth="1"/>
    <col min="3" max="3" width="15" style="30" bestFit="1" customWidth="1"/>
    <col min="4" max="4" width="11.42578125" style="30" bestFit="1" customWidth="1"/>
    <col min="5" max="5" width="9.42578125" style="31" bestFit="1" customWidth="1"/>
    <col min="6" max="7" width="16.42578125" style="30" bestFit="1" customWidth="1"/>
    <col min="8" max="9" width="3.7109375" style="70" customWidth="1"/>
    <col min="10" max="10" width="11" style="30" hidden="1" customWidth="1"/>
    <col min="11" max="11" width="3.7109375" style="30" hidden="1" customWidth="1"/>
    <col min="12" max="14" width="3.7109375" style="31" hidden="1" customWidth="1"/>
    <col min="15" max="23" width="3.7109375" style="31" customWidth="1"/>
    <col min="24" max="24" width="3.7109375" style="30" customWidth="1"/>
    <col min="25" max="25" width="9.140625" style="30"/>
    <col min="26" max="26" width="30.7109375" style="30" customWidth="1"/>
    <col min="27" max="30" width="10.7109375" style="30" customWidth="1"/>
    <col min="31" max="16384" width="9.140625" style="30"/>
  </cols>
  <sheetData>
    <row r="2" spans="2:24">
      <c r="C2" s="60" t="str">
        <f>SET!C44</f>
        <v>Player</v>
      </c>
      <c r="D2" s="60" t="str">
        <f>SET!C45</f>
        <v>Points</v>
      </c>
      <c r="E2" s="60">
        <v>3</v>
      </c>
      <c r="F2" s="60">
        <v>1</v>
      </c>
      <c r="G2" s="60" t="str">
        <f>SET!C46</f>
        <v>Ranking</v>
      </c>
    </row>
    <row r="3" spans="2:24">
      <c r="C3" s="32" t="str">
        <f>BOOKIE!O8</f>
        <v>player 01</v>
      </c>
      <c r="D3" s="32">
        <f>SUM(BOOKIE!Q9:Q72)</f>
        <v>0</v>
      </c>
      <c r="E3" s="32">
        <f>COUNTIF(BOOKIE!$Q$9:$Q$72,E$2)</f>
        <v>0</v>
      </c>
      <c r="F3" s="32">
        <f>COUNTIF(BOOKIE!Q9:Q72,F$2)</f>
        <v>0</v>
      </c>
      <c r="G3" s="32">
        <f>RANK(D3,$D$3:$D$5)</f>
        <v>1</v>
      </c>
    </row>
    <row r="4" spans="2:24">
      <c r="C4" s="32" t="str">
        <f>BOOKIE!R8</f>
        <v>Player 02</v>
      </c>
      <c r="D4" s="32">
        <f>SUM(BOOKIE!T9:T72)</f>
        <v>0</v>
      </c>
      <c r="E4" s="32">
        <f>COUNTIF(BOOKIE!$T$9:$T$72,E$2)</f>
        <v>0</v>
      </c>
      <c r="F4" s="32">
        <f>COUNTIF(BOOKIE!T9:T72,F$2)</f>
        <v>0</v>
      </c>
      <c r="G4" s="32">
        <f>RANK(D4,$D$3:$D$5)</f>
        <v>1</v>
      </c>
    </row>
    <row r="5" spans="2:24">
      <c r="C5" s="32" t="str">
        <f>BOOKIE!U8</f>
        <v>Player 03</v>
      </c>
      <c r="D5" s="32">
        <f>SUM(BOOKIE!W9:W72)</f>
        <v>0</v>
      </c>
      <c r="E5" s="32">
        <f>COUNTIF(BOOKIE!$W$9:$W$72,E$2)</f>
        <v>0</v>
      </c>
      <c r="F5" s="32">
        <f>COUNTIF(BOOKIE!W9:W72,F$2)</f>
        <v>0</v>
      </c>
      <c r="G5" s="32">
        <f>RANK(D5,$D$3:$D$5)</f>
        <v>1</v>
      </c>
    </row>
    <row r="6" spans="2:24" ht="15.75" thickBot="1">
      <c r="L6" s="30"/>
      <c r="M6" s="30"/>
      <c r="N6" s="30"/>
      <c r="O6" s="30"/>
      <c r="P6" s="30"/>
    </row>
    <row r="7" spans="2:24">
      <c r="B7" s="183"/>
      <c r="C7" s="184"/>
      <c r="D7" s="185"/>
      <c r="E7" s="186"/>
      <c r="F7" s="185"/>
      <c r="G7" s="185"/>
      <c r="H7" s="187"/>
      <c r="I7" s="187"/>
      <c r="J7" s="236"/>
      <c r="K7" s="236"/>
      <c r="L7" s="236"/>
      <c r="M7" s="236"/>
      <c r="N7" s="236"/>
      <c r="O7" s="186"/>
      <c r="P7" s="186"/>
      <c r="Q7" s="186"/>
      <c r="R7" s="186"/>
      <c r="S7" s="186"/>
      <c r="T7" s="186"/>
      <c r="U7" s="186"/>
      <c r="V7" s="186"/>
      <c r="W7" s="186"/>
      <c r="X7" s="188"/>
    </row>
    <row r="8" spans="2:24" ht="30" customHeight="1" thickBot="1">
      <c r="B8" s="189"/>
      <c r="C8" s="171" t="str">
        <f>SET!C38</f>
        <v>Date</v>
      </c>
      <c r="D8" s="171" t="str">
        <f>SET!C39</f>
        <v>Day</v>
      </c>
      <c r="E8" s="171" t="str">
        <f>SET!C58</f>
        <v>Select Team &gt;</v>
      </c>
      <c r="F8" s="171" t="str">
        <f>SET!C40</f>
        <v>Team 1</v>
      </c>
      <c r="G8" s="171" t="str">
        <f>SET!C41</f>
        <v>Team 2</v>
      </c>
      <c r="H8" s="237" t="str">
        <f>SET!C42</f>
        <v>Score</v>
      </c>
      <c r="I8" s="238"/>
      <c r="J8" s="181"/>
      <c r="K8" s="181">
        <v>0</v>
      </c>
      <c r="L8" s="182">
        <v>1</v>
      </c>
      <c r="M8" s="181">
        <v>2</v>
      </c>
      <c r="N8" s="182">
        <v>3</v>
      </c>
      <c r="O8" s="239" t="s">
        <v>276</v>
      </c>
      <c r="P8" s="239"/>
      <c r="Q8" s="239"/>
      <c r="R8" s="239" t="s">
        <v>251</v>
      </c>
      <c r="S8" s="239"/>
      <c r="T8" s="239"/>
      <c r="U8" s="239" t="s">
        <v>252</v>
      </c>
      <c r="V8" s="239"/>
      <c r="W8" s="239"/>
      <c r="X8" s="190"/>
    </row>
    <row r="9" spans="2:24" ht="16.5" thickTop="1" thickBot="1">
      <c r="B9" s="189"/>
      <c r="C9" s="77">
        <f>'2018'!G6</f>
        <v>43265.8125</v>
      </c>
      <c r="D9" s="77" t="str">
        <f>'2018'!H6</f>
        <v>Thu</v>
      </c>
      <c r="E9" s="78" t="s">
        <v>161</v>
      </c>
      <c r="F9" s="79" t="str">
        <f>'2018'!I6</f>
        <v>Russia</v>
      </c>
      <c r="G9" s="79" t="str">
        <f>'2018'!J6</f>
        <v>Saudi Arabia</v>
      </c>
      <c r="H9" s="191" t="str">
        <f>IF('2018'!K6="","",'2018'!K6)</f>
        <v/>
      </c>
      <c r="I9" s="191" t="str">
        <f>IF('2018'!L6="","",'2018'!L6)</f>
        <v/>
      </c>
      <c r="J9" s="180" t="str">
        <f>TEXT(C9,"dd/mm/yy")</f>
        <v>14/06/18</v>
      </c>
      <c r="K9" s="180">
        <f>IF(OR(H9="",I9=""),3,IF('2018'!K6&gt;'2018'!L6,1,IF('2018'!L6&gt;'2018'!K6,2,IF(OR(H9="",I9=""),3,0))))</f>
        <v>3</v>
      </c>
      <c r="L9" s="180">
        <f t="shared" ref="L9:L44" si="0">IF(O9&gt;P9,1,IF(P9&gt;O9,2,0))</f>
        <v>0</v>
      </c>
      <c r="M9" s="180">
        <f t="shared" ref="M9:M44" si="1">IF(R9&gt;S9,1,IF(S9&gt;R9,2,0))</f>
        <v>0</v>
      </c>
      <c r="N9" s="180">
        <f t="shared" ref="N9:N44" si="2">IF(U9&gt;V9,1,IF(V9&gt;U9,2,0))</f>
        <v>0</v>
      </c>
      <c r="O9" s="85"/>
      <c r="P9" s="85"/>
      <c r="Q9" s="86">
        <f t="shared" ref="Q9:Q40" si="3">IF(AND($H9=O9,$I9=P9,O9&lt;&gt;"",P9&lt;&gt;""),3,IF(AND($K9=L9,O9&lt;&gt;"",P9&lt;&gt;""),1,0))</f>
        <v>0</v>
      </c>
      <c r="R9" s="85"/>
      <c r="S9" s="85"/>
      <c r="T9" s="86">
        <f t="shared" ref="T9:T40" si="4">IF(AND($H9=R9,$I9=S9,R9&lt;&gt;"",S9&lt;&gt;""),3,IF(AND($K9=M9,R9&lt;&gt;"",S9&lt;&gt;""),1,0))</f>
        <v>0</v>
      </c>
      <c r="U9" s="85"/>
      <c r="V9" s="85"/>
      <c r="W9" s="86">
        <f t="shared" ref="W9:W40" si="5">IF(AND($H9=U9,$I9=V9,U9&lt;&gt;"",V9&lt;&gt;""),3,IF(AND($K9=N9,U9&lt;&gt;"",V9&lt;&gt;""),1,0))</f>
        <v>0</v>
      </c>
      <c r="X9" s="190"/>
    </row>
    <row r="10" spans="2:24" ht="16.5" thickTop="1" thickBot="1">
      <c r="B10" s="189"/>
      <c r="C10" s="77">
        <f>'2018'!G7</f>
        <v>43266.6875</v>
      </c>
      <c r="D10" s="80" t="str">
        <f>'2018'!H7</f>
        <v>Fri</v>
      </c>
      <c r="E10" s="78" t="s">
        <v>161</v>
      </c>
      <c r="F10" s="79" t="str">
        <f>'2018'!I7</f>
        <v>Egypt</v>
      </c>
      <c r="G10" s="79" t="str">
        <f>'2018'!J7</f>
        <v>Uruguay</v>
      </c>
      <c r="H10" s="191" t="str">
        <f>IF('2018'!K7="","",'2018'!K7)</f>
        <v/>
      </c>
      <c r="I10" s="191" t="str">
        <f>IF('2018'!L7="","",'2018'!L7)</f>
        <v/>
      </c>
      <c r="J10" s="62" t="str">
        <f t="shared" ref="J10:J70" si="6">TEXT(C10,"dd/mm/yy")</f>
        <v>15/06/18</v>
      </c>
      <c r="K10" s="62">
        <f>IF(OR(H10="",I10=""),3,IF('2018'!K7&gt;'2018'!L7,1,IF('2018'!L7&gt;'2018'!K7,2,IF(OR(H10="",I10=""),3,0))))</f>
        <v>3</v>
      </c>
      <c r="L10" s="62">
        <f t="shared" si="0"/>
        <v>0</v>
      </c>
      <c r="M10" s="62">
        <f t="shared" si="1"/>
        <v>0</v>
      </c>
      <c r="N10" s="62">
        <f t="shared" si="2"/>
        <v>0</v>
      </c>
      <c r="O10" s="33"/>
      <c r="P10" s="33"/>
      <c r="Q10" s="82">
        <f t="shared" si="3"/>
        <v>0</v>
      </c>
      <c r="R10" s="33"/>
      <c r="S10" s="33"/>
      <c r="T10" s="82">
        <f t="shared" si="4"/>
        <v>0</v>
      </c>
      <c r="U10" s="33"/>
      <c r="V10" s="33"/>
      <c r="W10" s="82">
        <f t="shared" si="5"/>
        <v>0</v>
      </c>
      <c r="X10" s="190"/>
    </row>
    <row r="11" spans="2:24" ht="16.5" thickTop="1" thickBot="1">
      <c r="B11" s="189"/>
      <c r="C11" s="77">
        <f>'2018'!G8</f>
        <v>43270.9375</v>
      </c>
      <c r="D11" s="80" t="str">
        <f>'2018'!H8</f>
        <v>Tue</v>
      </c>
      <c r="E11" s="78" t="s">
        <v>161</v>
      </c>
      <c r="F11" s="79" t="str">
        <f>'2018'!I8</f>
        <v>Russia</v>
      </c>
      <c r="G11" s="79" t="str">
        <f>'2018'!J8</f>
        <v>Egypt</v>
      </c>
      <c r="H11" s="191" t="str">
        <f>IF('2018'!K8="","",'2018'!K8)</f>
        <v/>
      </c>
      <c r="I11" s="191" t="str">
        <f>IF('2018'!L8="","",'2018'!L8)</f>
        <v/>
      </c>
      <c r="J11" s="62" t="str">
        <f t="shared" si="6"/>
        <v>19/06/18</v>
      </c>
      <c r="K11" s="62">
        <f>IF(OR(H11="",I11=""),3,IF('2018'!K8&gt;'2018'!L8,1,IF('2018'!L8&gt;'2018'!K8,2,IF(OR(H11="",I11=""),3,0))))</f>
        <v>3</v>
      </c>
      <c r="L11" s="62">
        <f t="shared" si="0"/>
        <v>0</v>
      </c>
      <c r="M11" s="62">
        <f t="shared" si="1"/>
        <v>0</v>
      </c>
      <c r="N11" s="62">
        <f t="shared" si="2"/>
        <v>0</v>
      </c>
      <c r="O11" s="33"/>
      <c r="P11" s="33"/>
      <c r="Q11" s="82">
        <f t="shared" si="3"/>
        <v>0</v>
      </c>
      <c r="R11" s="33"/>
      <c r="S11" s="33"/>
      <c r="T11" s="82">
        <f t="shared" si="4"/>
        <v>0</v>
      </c>
      <c r="U11" s="33"/>
      <c r="V11" s="33"/>
      <c r="W11" s="82">
        <f t="shared" si="5"/>
        <v>0</v>
      </c>
      <c r="X11" s="190"/>
    </row>
    <row r="12" spans="2:24" ht="16.5" thickTop="1" thickBot="1">
      <c r="B12" s="189"/>
      <c r="C12" s="77">
        <f>'2018'!G9</f>
        <v>43271.8125</v>
      </c>
      <c r="D12" s="80" t="str">
        <f>'2018'!H9</f>
        <v>Wed</v>
      </c>
      <c r="E12" s="78" t="s">
        <v>161</v>
      </c>
      <c r="F12" s="79" t="str">
        <f>'2018'!I9</f>
        <v>Uruguay</v>
      </c>
      <c r="G12" s="79" t="str">
        <f>'2018'!J9</f>
        <v>Saudi Arabia</v>
      </c>
      <c r="H12" s="191" t="str">
        <f>IF('2018'!K9="","",'2018'!K9)</f>
        <v/>
      </c>
      <c r="I12" s="191" t="str">
        <f>IF('2018'!L9="","",'2018'!L9)</f>
        <v/>
      </c>
      <c r="J12" s="62" t="str">
        <f t="shared" si="6"/>
        <v>20/06/18</v>
      </c>
      <c r="K12" s="62">
        <f>IF(OR(H12="",I12=""),3,IF('2018'!K9&gt;'2018'!L9,1,IF('2018'!L9&gt;'2018'!K9,2,IF(OR(H12="",I12=""),3,0))))</f>
        <v>3</v>
      </c>
      <c r="L12" s="62">
        <f t="shared" si="0"/>
        <v>0</v>
      </c>
      <c r="M12" s="62">
        <f t="shared" si="1"/>
        <v>0</v>
      </c>
      <c r="N12" s="62">
        <f t="shared" si="2"/>
        <v>0</v>
      </c>
      <c r="O12" s="33"/>
      <c r="P12" s="33"/>
      <c r="Q12" s="82">
        <f t="shared" si="3"/>
        <v>0</v>
      </c>
      <c r="R12" s="33"/>
      <c r="S12" s="33"/>
      <c r="T12" s="82">
        <f t="shared" si="4"/>
        <v>0</v>
      </c>
      <c r="U12" s="33"/>
      <c r="V12" s="33"/>
      <c r="W12" s="82">
        <f t="shared" si="5"/>
        <v>0</v>
      </c>
      <c r="X12" s="190"/>
    </row>
    <row r="13" spans="2:24" ht="16.5" thickTop="1" thickBot="1">
      <c r="B13" s="189"/>
      <c r="C13" s="77">
        <f>'2018'!G10</f>
        <v>43276.770833333336</v>
      </c>
      <c r="D13" s="80" t="str">
        <f>'2018'!H10</f>
        <v>Mon</v>
      </c>
      <c r="E13" s="78" t="s">
        <v>161</v>
      </c>
      <c r="F13" s="79" t="str">
        <f>'2018'!I10</f>
        <v>Saudi Arabia</v>
      </c>
      <c r="G13" s="79" t="str">
        <f>'2018'!J10</f>
        <v>Egypt</v>
      </c>
      <c r="H13" s="191" t="str">
        <f>IF('2018'!K10="","",'2018'!K10)</f>
        <v/>
      </c>
      <c r="I13" s="191" t="str">
        <f>IF('2018'!L10="","",'2018'!L10)</f>
        <v/>
      </c>
      <c r="J13" s="62" t="str">
        <f t="shared" si="6"/>
        <v>25/06/18</v>
      </c>
      <c r="K13" s="62">
        <f>IF(OR(H13="",I13=""),3,IF('2018'!K10&gt;'2018'!L10,1,IF('2018'!L10&gt;'2018'!K10,2,IF(OR(H13="",I13=""),3,0))))</f>
        <v>3</v>
      </c>
      <c r="L13" s="62">
        <f t="shared" si="0"/>
        <v>0</v>
      </c>
      <c r="M13" s="62">
        <f t="shared" si="1"/>
        <v>0</v>
      </c>
      <c r="N13" s="62">
        <f t="shared" si="2"/>
        <v>0</v>
      </c>
      <c r="O13" s="33"/>
      <c r="P13" s="33"/>
      <c r="Q13" s="82">
        <f t="shared" si="3"/>
        <v>0</v>
      </c>
      <c r="R13" s="33"/>
      <c r="S13" s="33"/>
      <c r="T13" s="82">
        <f t="shared" si="4"/>
        <v>0</v>
      </c>
      <c r="U13" s="33"/>
      <c r="V13" s="33"/>
      <c r="W13" s="82">
        <f t="shared" si="5"/>
        <v>0</v>
      </c>
      <c r="X13" s="190"/>
    </row>
    <row r="14" spans="2:24" ht="16.5" thickTop="1" thickBot="1">
      <c r="B14" s="189"/>
      <c r="C14" s="77">
        <f>'2018'!G11</f>
        <v>43276.770833333336</v>
      </c>
      <c r="D14" s="80" t="str">
        <f>'2018'!H11</f>
        <v>Mon</v>
      </c>
      <c r="E14" s="78" t="s">
        <v>161</v>
      </c>
      <c r="F14" s="79" t="str">
        <f>'2018'!I11</f>
        <v>Uruguay</v>
      </c>
      <c r="G14" s="79" t="str">
        <f>'2018'!J11</f>
        <v>Russia</v>
      </c>
      <c r="H14" s="191" t="str">
        <f>IF('2018'!K11="","",'2018'!K11)</f>
        <v/>
      </c>
      <c r="I14" s="191" t="str">
        <f>IF('2018'!L11="","",'2018'!L11)</f>
        <v/>
      </c>
      <c r="J14" s="62" t="str">
        <f t="shared" si="6"/>
        <v>25/06/18</v>
      </c>
      <c r="K14" s="62">
        <f>IF(OR(H14="",I14=""),3,IF('2018'!K11&gt;'2018'!L11,1,IF('2018'!L11&gt;'2018'!K11,2,IF(OR(H14="",I14=""),3,0))))</f>
        <v>3</v>
      </c>
      <c r="L14" s="62">
        <f t="shared" si="0"/>
        <v>0</v>
      </c>
      <c r="M14" s="62">
        <f t="shared" si="1"/>
        <v>0</v>
      </c>
      <c r="N14" s="62">
        <f t="shared" si="2"/>
        <v>0</v>
      </c>
      <c r="O14" s="33"/>
      <c r="P14" s="33"/>
      <c r="Q14" s="82">
        <f t="shared" si="3"/>
        <v>0</v>
      </c>
      <c r="R14" s="33"/>
      <c r="S14" s="33"/>
      <c r="T14" s="82">
        <f t="shared" si="4"/>
        <v>0</v>
      </c>
      <c r="U14" s="33"/>
      <c r="V14" s="33"/>
      <c r="W14" s="82">
        <f t="shared" si="5"/>
        <v>0</v>
      </c>
      <c r="X14" s="190"/>
    </row>
    <row r="15" spans="2:24" ht="16.5" thickTop="1" thickBot="1">
      <c r="B15" s="189"/>
      <c r="C15" s="77">
        <f>'2018'!G12</f>
        <v>43266.8125</v>
      </c>
      <c r="D15" s="80" t="str">
        <f>'2018'!H12</f>
        <v>Fri</v>
      </c>
      <c r="E15" s="78" t="s">
        <v>162</v>
      </c>
      <c r="F15" s="79" t="str">
        <f>'2018'!I12</f>
        <v>Morocco</v>
      </c>
      <c r="G15" s="79" t="str">
        <f>'2018'!J12</f>
        <v>Iran</v>
      </c>
      <c r="H15" s="191" t="str">
        <f>IF('2018'!K12="","",'2018'!K12)</f>
        <v/>
      </c>
      <c r="I15" s="191" t="str">
        <f>IF('2018'!L12="","",'2018'!L12)</f>
        <v/>
      </c>
      <c r="J15" s="62" t="str">
        <f t="shared" si="6"/>
        <v>15/06/18</v>
      </c>
      <c r="K15" s="62">
        <f>IF(OR(H15="",I15=""),3,IF('2018'!K12&gt;'2018'!L12,1,IF('2018'!L12&gt;'2018'!K12,2,IF(OR(H15="",I15=""),3,0))))</f>
        <v>3</v>
      </c>
      <c r="L15" s="62">
        <f t="shared" si="0"/>
        <v>0</v>
      </c>
      <c r="M15" s="62">
        <f t="shared" si="1"/>
        <v>0</v>
      </c>
      <c r="N15" s="62">
        <f t="shared" si="2"/>
        <v>0</v>
      </c>
      <c r="O15" s="33"/>
      <c r="P15" s="33"/>
      <c r="Q15" s="82">
        <f t="shared" si="3"/>
        <v>0</v>
      </c>
      <c r="R15" s="33"/>
      <c r="S15" s="33"/>
      <c r="T15" s="82">
        <f t="shared" si="4"/>
        <v>0</v>
      </c>
      <c r="U15" s="33"/>
      <c r="V15" s="33"/>
      <c r="W15" s="82">
        <f t="shared" si="5"/>
        <v>0</v>
      </c>
      <c r="X15" s="190"/>
    </row>
    <row r="16" spans="2:24" ht="16.5" thickTop="1" thickBot="1">
      <c r="B16" s="189"/>
      <c r="C16" s="77">
        <f>'2018'!G13</f>
        <v>43266.9375</v>
      </c>
      <c r="D16" s="80" t="str">
        <f>'2018'!H13</f>
        <v>Fri</v>
      </c>
      <c r="E16" s="78" t="s">
        <v>162</v>
      </c>
      <c r="F16" s="79" t="str">
        <f>'2018'!I13</f>
        <v>Portugal</v>
      </c>
      <c r="G16" s="79" t="str">
        <f>'2018'!J13</f>
        <v>Spain</v>
      </c>
      <c r="H16" s="191" t="str">
        <f>IF('2018'!K13="","",'2018'!K13)</f>
        <v/>
      </c>
      <c r="I16" s="191" t="str">
        <f>IF('2018'!L13="","",'2018'!L13)</f>
        <v/>
      </c>
      <c r="J16" s="62" t="str">
        <f t="shared" si="6"/>
        <v>15/06/18</v>
      </c>
      <c r="K16" s="62">
        <f>IF(OR(H16="",I16=""),3,IF('2018'!K13&gt;'2018'!L13,1,IF('2018'!L13&gt;'2018'!K13,2,IF(OR(H16="",I16=""),3,0))))</f>
        <v>3</v>
      </c>
      <c r="L16" s="62">
        <f t="shared" si="0"/>
        <v>0</v>
      </c>
      <c r="M16" s="62">
        <f t="shared" si="1"/>
        <v>0</v>
      </c>
      <c r="N16" s="62">
        <f t="shared" si="2"/>
        <v>0</v>
      </c>
      <c r="O16" s="33"/>
      <c r="P16" s="33"/>
      <c r="Q16" s="82">
        <f t="shared" si="3"/>
        <v>0</v>
      </c>
      <c r="R16" s="33"/>
      <c r="S16" s="33"/>
      <c r="T16" s="82">
        <f t="shared" si="4"/>
        <v>0</v>
      </c>
      <c r="U16" s="33"/>
      <c r="V16" s="33"/>
      <c r="W16" s="82">
        <f t="shared" si="5"/>
        <v>0</v>
      </c>
      <c r="X16" s="190"/>
    </row>
    <row r="17" spans="2:24" ht="16.5" thickTop="1" thickBot="1">
      <c r="B17" s="189"/>
      <c r="C17" s="77">
        <f>'2018'!G14</f>
        <v>43271.6875</v>
      </c>
      <c r="D17" s="80" t="str">
        <f>'2018'!H14</f>
        <v>Wed</v>
      </c>
      <c r="E17" s="78" t="s">
        <v>162</v>
      </c>
      <c r="F17" s="79" t="str">
        <f>'2018'!I14</f>
        <v>Portugal</v>
      </c>
      <c r="G17" s="79" t="str">
        <f>'2018'!J14</f>
        <v>Morocco</v>
      </c>
      <c r="H17" s="191" t="str">
        <f>IF('2018'!K14="","",'2018'!K14)</f>
        <v/>
      </c>
      <c r="I17" s="191" t="str">
        <f>IF('2018'!L14="","",'2018'!L14)</f>
        <v/>
      </c>
      <c r="J17" s="62" t="str">
        <f t="shared" si="6"/>
        <v>20/06/18</v>
      </c>
      <c r="K17" s="62">
        <f>IF(OR(H17="",I17=""),3,IF('2018'!K14&gt;'2018'!L14,1,IF('2018'!L14&gt;'2018'!K14,2,IF(OR(H17="",I17=""),3,0))))</f>
        <v>3</v>
      </c>
      <c r="L17" s="62">
        <f t="shared" si="0"/>
        <v>0</v>
      </c>
      <c r="M17" s="62">
        <f t="shared" si="1"/>
        <v>0</v>
      </c>
      <c r="N17" s="62">
        <f t="shared" si="2"/>
        <v>0</v>
      </c>
      <c r="O17" s="33"/>
      <c r="P17" s="33"/>
      <c r="Q17" s="82">
        <f t="shared" si="3"/>
        <v>0</v>
      </c>
      <c r="R17" s="33"/>
      <c r="S17" s="33"/>
      <c r="T17" s="82">
        <f t="shared" si="4"/>
        <v>0</v>
      </c>
      <c r="U17" s="33"/>
      <c r="V17" s="33"/>
      <c r="W17" s="82">
        <f t="shared" si="5"/>
        <v>0</v>
      </c>
      <c r="X17" s="190"/>
    </row>
    <row r="18" spans="2:24" ht="16.5" thickTop="1" thickBot="1">
      <c r="B18" s="189"/>
      <c r="C18" s="77">
        <f>'2018'!G15</f>
        <v>43271.9375</v>
      </c>
      <c r="D18" s="80" t="str">
        <f>'2018'!H15</f>
        <v>Wed</v>
      </c>
      <c r="E18" s="78" t="s">
        <v>162</v>
      </c>
      <c r="F18" s="79" t="str">
        <f>'2018'!I15</f>
        <v>Iran</v>
      </c>
      <c r="G18" s="79" t="str">
        <f>'2018'!J15</f>
        <v>Spain</v>
      </c>
      <c r="H18" s="191" t="str">
        <f>IF('2018'!K15="","",'2018'!K15)</f>
        <v/>
      </c>
      <c r="I18" s="191" t="str">
        <f>IF('2018'!L15="","",'2018'!L15)</f>
        <v/>
      </c>
      <c r="J18" s="62" t="str">
        <f t="shared" si="6"/>
        <v>20/06/18</v>
      </c>
      <c r="K18" s="62">
        <f>IF(OR(H18="",I18=""),3,IF('2018'!K15&gt;'2018'!L15,1,IF('2018'!L15&gt;'2018'!K15,2,IF(OR(H18="",I18=""),3,0))))</f>
        <v>3</v>
      </c>
      <c r="L18" s="62">
        <f t="shared" si="0"/>
        <v>0</v>
      </c>
      <c r="M18" s="62">
        <f t="shared" si="1"/>
        <v>0</v>
      </c>
      <c r="N18" s="62">
        <f t="shared" si="2"/>
        <v>0</v>
      </c>
      <c r="O18" s="33"/>
      <c r="P18" s="33"/>
      <c r="Q18" s="82">
        <f t="shared" si="3"/>
        <v>0</v>
      </c>
      <c r="R18" s="33"/>
      <c r="S18" s="33"/>
      <c r="T18" s="82">
        <f t="shared" si="4"/>
        <v>0</v>
      </c>
      <c r="U18" s="33"/>
      <c r="V18" s="33"/>
      <c r="W18" s="82">
        <f t="shared" si="5"/>
        <v>0</v>
      </c>
      <c r="X18" s="190"/>
    </row>
    <row r="19" spans="2:24" ht="16.5" thickTop="1" thickBot="1">
      <c r="B19" s="189"/>
      <c r="C19" s="77">
        <f>'2018'!G16</f>
        <v>43276.9375</v>
      </c>
      <c r="D19" s="80" t="str">
        <f>'2018'!H16</f>
        <v>Mon</v>
      </c>
      <c r="E19" s="78" t="s">
        <v>162</v>
      </c>
      <c r="F19" s="79" t="str">
        <f>'2018'!I16</f>
        <v>Iran</v>
      </c>
      <c r="G19" s="79" t="str">
        <f>'2018'!J16</f>
        <v>Portugal</v>
      </c>
      <c r="H19" s="191" t="str">
        <f>IF('2018'!K16="","",'2018'!K16)</f>
        <v/>
      </c>
      <c r="I19" s="191" t="str">
        <f>IF('2018'!L16="","",'2018'!L16)</f>
        <v/>
      </c>
      <c r="J19" s="62" t="str">
        <f t="shared" si="6"/>
        <v>25/06/18</v>
      </c>
      <c r="K19" s="62">
        <f>IF(OR(H19="",I19=""),3,IF('2018'!K16&gt;'2018'!L16,1,IF('2018'!L16&gt;'2018'!K16,2,IF(OR(H19="",I19=""),3,0))))</f>
        <v>3</v>
      </c>
      <c r="L19" s="62">
        <f t="shared" si="0"/>
        <v>0</v>
      </c>
      <c r="M19" s="62">
        <f t="shared" si="1"/>
        <v>0</v>
      </c>
      <c r="N19" s="62">
        <f t="shared" si="2"/>
        <v>0</v>
      </c>
      <c r="O19" s="33"/>
      <c r="P19" s="33"/>
      <c r="Q19" s="82">
        <f t="shared" si="3"/>
        <v>0</v>
      </c>
      <c r="R19" s="33"/>
      <c r="S19" s="33"/>
      <c r="T19" s="82">
        <f t="shared" si="4"/>
        <v>0</v>
      </c>
      <c r="U19" s="33"/>
      <c r="V19" s="33"/>
      <c r="W19" s="82">
        <f t="shared" si="5"/>
        <v>0</v>
      </c>
      <c r="X19" s="190"/>
    </row>
    <row r="20" spans="2:24" ht="16.5" thickTop="1" thickBot="1">
      <c r="B20" s="189"/>
      <c r="C20" s="77">
        <f>'2018'!G17</f>
        <v>43276.9375</v>
      </c>
      <c r="D20" s="80" t="str">
        <f>'2018'!H17</f>
        <v>Mon</v>
      </c>
      <c r="E20" s="78" t="s">
        <v>162</v>
      </c>
      <c r="F20" s="79" t="str">
        <f>'2018'!I17</f>
        <v>Spain</v>
      </c>
      <c r="G20" s="79" t="str">
        <f>'2018'!J17</f>
        <v>Morocco</v>
      </c>
      <c r="H20" s="191" t="str">
        <f>IF('2018'!K17="","",'2018'!K17)</f>
        <v/>
      </c>
      <c r="I20" s="191" t="str">
        <f>IF('2018'!L17="","",'2018'!L17)</f>
        <v/>
      </c>
      <c r="J20" s="62" t="str">
        <f t="shared" si="6"/>
        <v>25/06/18</v>
      </c>
      <c r="K20" s="62">
        <f>IF(OR(H20="",I20=""),3,IF('2018'!K17&gt;'2018'!L17,1,IF('2018'!L17&gt;'2018'!K17,2,IF(OR(H20="",I20=""),3,0))))</f>
        <v>3</v>
      </c>
      <c r="L20" s="62">
        <f t="shared" si="0"/>
        <v>0</v>
      </c>
      <c r="M20" s="62">
        <f t="shared" si="1"/>
        <v>0</v>
      </c>
      <c r="N20" s="62">
        <f t="shared" si="2"/>
        <v>0</v>
      </c>
      <c r="O20" s="33"/>
      <c r="P20" s="33"/>
      <c r="Q20" s="82">
        <f t="shared" si="3"/>
        <v>0</v>
      </c>
      <c r="R20" s="33"/>
      <c r="S20" s="33"/>
      <c r="T20" s="82">
        <f t="shared" si="4"/>
        <v>0</v>
      </c>
      <c r="U20" s="33"/>
      <c r="V20" s="33"/>
      <c r="W20" s="82">
        <f t="shared" si="5"/>
        <v>0</v>
      </c>
      <c r="X20" s="190"/>
    </row>
    <row r="21" spans="2:24" ht="16.5" thickTop="1" thickBot="1">
      <c r="B21" s="189"/>
      <c r="C21" s="77">
        <f>'2018'!G18</f>
        <v>43267.604166666672</v>
      </c>
      <c r="D21" s="80" t="str">
        <f>'2018'!H18</f>
        <v>Sat</v>
      </c>
      <c r="E21" s="78" t="s">
        <v>163</v>
      </c>
      <c r="F21" s="79" t="str">
        <f>'2018'!I18</f>
        <v>France</v>
      </c>
      <c r="G21" s="79" t="str">
        <f>'2018'!J18</f>
        <v>Australia</v>
      </c>
      <c r="H21" s="191" t="str">
        <f>IF('2018'!K18="","",'2018'!K18)</f>
        <v/>
      </c>
      <c r="I21" s="191" t="str">
        <f>IF('2018'!L18="","",'2018'!L18)</f>
        <v/>
      </c>
      <c r="J21" s="62" t="str">
        <f t="shared" si="6"/>
        <v>16/06/18</v>
      </c>
      <c r="K21" s="62">
        <f>IF(OR(H21="",I21=""),3,IF('2018'!K18&gt;'2018'!L18,1,IF('2018'!L18&gt;'2018'!K18,2,IF(OR(H21="",I21=""),3,0))))</f>
        <v>3</v>
      </c>
      <c r="L21" s="62">
        <f t="shared" si="0"/>
        <v>0</v>
      </c>
      <c r="M21" s="62">
        <f t="shared" si="1"/>
        <v>0</v>
      </c>
      <c r="N21" s="62">
        <f t="shared" si="2"/>
        <v>0</v>
      </c>
      <c r="O21" s="33"/>
      <c r="P21" s="33"/>
      <c r="Q21" s="82">
        <f t="shared" si="3"/>
        <v>0</v>
      </c>
      <c r="R21" s="33"/>
      <c r="S21" s="33"/>
      <c r="T21" s="82">
        <f t="shared" si="4"/>
        <v>0</v>
      </c>
      <c r="U21" s="33"/>
      <c r="V21" s="33"/>
      <c r="W21" s="82">
        <f t="shared" si="5"/>
        <v>0</v>
      </c>
      <c r="X21" s="190"/>
    </row>
    <row r="22" spans="2:24" ht="16.5" thickTop="1" thickBot="1">
      <c r="B22" s="189"/>
      <c r="C22" s="77">
        <f>'2018'!G19</f>
        <v>43267.854166666672</v>
      </c>
      <c r="D22" s="80" t="str">
        <f>'2018'!H19</f>
        <v>Sat</v>
      </c>
      <c r="E22" s="78" t="s">
        <v>163</v>
      </c>
      <c r="F22" s="79" t="str">
        <f>'2018'!I19</f>
        <v>Peru</v>
      </c>
      <c r="G22" s="79" t="str">
        <f>'2018'!J19</f>
        <v>Denmark</v>
      </c>
      <c r="H22" s="191" t="str">
        <f>IF('2018'!K19="","",'2018'!K19)</f>
        <v/>
      </c>
      <c r="I22" s="191" t="str">
        <f>IF('2018'!L19="","",'2018'!L19)</f>
        <v/>
      </c>
      <c r="J22" s="62" t="str">
        <f t="shared" si="6"/>
        <v>16/06/18</v>
      </c>
      <c r="K22" s="62">
        <f>IF(OR(H22="",I22=""),3,IF('2018'!K19&gt;'2018'!L19,1,IF('2018'!L19&gt;'2018'!K19,2,IF(OR(H22="",I22=""),3,0))))</f>
        <v>3</v>
      </c>
      <c r="L22" s="62">
        <f t="shared" si="0"/>
        <v>0</v>
      </c>
      <c r="M22" s="62">
        <f t="shared" si="1"/>
        <v>0</v>
      </c>
      <c r="N22" s="62">
        <f t="shared" si="2"/>
        <v>0</v>
      </c>
      <c r="O22" s="33"/>
      <c r="P22" s="33"/>
      <c r="Q22" s="82">
        <f t="shared" si="3"/>
        <v>0</v>
      </c>
      <c r="R22" s="33"/>
      <c r="S22" s="33"/>
      <c r="T22" s="82">
        <f t="shared" si="4"/>
        <v>0</v>
      </c>
      <c r="U22" s="33"/>
      <c r="V22" s="33"/>
      <c r="W22" s="82">
        <f t="shared" si="5"/>
        <v>0</v>
      </c>
      <c r="X22" s="190"/>
    </row>
    <row r="23" spans="2:24" ht="16.5" thickTop="1" thickBot="1">
      <c r="B23" s="189"/>
      <c r="C23" s="77">
        <f>'2018'!G20</f>
        <v>43272.6875</v>
      </c>
      <c r="D23" s="80" t="str">
        <f>'2018'!H20</f>
        <v>Thu</v>
      </c>
      <c r="E23" s="78" t="s">
        <v>163</v>
      </c>
      <c r="F23" s="79" t="str">
        <f>'2018'!I20</f>
        <v>Denmark</v>
      </c>
      <c r="G23" s="79" t="str">
        <f>'2018'!J20</f>
        <v>Australia</v>
      </c>
      <c r="H23" s="191" t="str">
        <f>IF('2018'!K20="","",'2018'!K20)</f>
        <v/>
      </c>
      <c r="I23" s="191" t="str">
        <f>IF('2018'!L20="","",'2018'!L20)</f>
        <v/>
      </c>
      <c r="J23" s="62" t="str">
        <f t="shared" si="6"/>
        <v>21/06/18</v>
      </c>
      <c r="K23" s="62">
        <f>IF(OR(H23="",I23=""),3,IF('2018'!K20&gt;'2018'!L20,1,IF('2018'!L20&gt;'2018'!K20,2,IF(OR(H23="",I23=""),3,0))))</f>
        <v>3</v>
      </c>
      <c r="L23" s="62">
        <f t="shared" si="0"/>
        <v>0</v>
      </c>
      <c r="M23" s="62">
        <f t="shared" si="1"/>
        <v>0</v>
      </c>
      <c r="N23" s="62">
        <f t="shared" si="2"/>
        <v>0</v>
      </c>
      <c r="O23" s="33"/>
      <c r="P23" s="33"/>
      <c r="Q23" s="82">
        <f t="shared" si="3"/>
        <v>0</v>
      </c>
      <c r="R23" s="33"/>
      <c r="S23" s="33"/>
      <c r="T23" s="82">
        <f t="shared" si="4"/>
        <v>0</v>
      </c>
      <c r="U23" s="33"/>
      <c r="V23" s="33"/>
      <c r="W23" s="82">
        <f t="shared" si="5"/>
        <v>0</v>
      </c>
      <c r="X23" s="190"/>
    </row>
    <row r="24" spans="2:24" ht="16.5" thickTop="1" thickBot="1">
      <c r="B24" s="189"/>
      <c r="C24" s="77">
        <f>'2018'!G21</f>
        <v>43272.8125</v>
      </c>
      <c r="D24" s="80" t="str">
        <f>'2018'!H21</f>
        <v>Thu</v>
      </c>
      <c r="E24" s="78" t="s">
        <v>163</v>
      </c>
      <c r="F24" s="79" t="str">
        <f>'2018'!I21</f>
        <v>France</v>
      </c>
      <c r="G24" s="79" t="str">
        <f>'2018'!J21</f>
        <v>Peru</v>
      </c>
      <c r="H24" s="191" t="str">
        <f>IF('2018'!K21="","",'2018'!K21)</f>
        <v/>
      </c>
      <c r="I24" s="191" t="str">
        <f>IF('2018'!L21="","",'2018'!L21)</f>
        <v/>
      </c>
      <c r="J24" s="62" t="str">
        <f t="shared" si="6"/>
        <v>21/06/18</v>
      </c>
      <c r="K24" s="62">
        <f>IF(OR(H24="",I24=""),3,IF('2018'!K21&gt;'2018'!L21,1,IF('2018'!L21&gt;'2018'!K21,2,IF(OR(H24="",I24=""),3,0))))</f>
        <v>3</v>
      </c>
      <c r="L24" s="62">
        <f t="shared" si="0"/>
        <v>0</v>
      </c>
      <c r="M24" s="62">
        <f t="shared" si="1"/>
        <v>0</v>
      </c>
      <c r="N24" s="62">
        <f t="shared" si="2"/>
        <v>0</v>
      </c>
      <c r="O24" s="33"/>
      <c r="P24" s="33"/>
      <c r="Q24" s="82">
        <f t="shared" si="3"/>
        <v>0</v>
      </c>
      <c r="R24" s="33"/>
      <c r="S24" s="33"/>
      <c r="T24" s="82">
        <f t="shared" si="4"/>
        <v>0</v>
      </c>
      <c r="U24" s="33"/>
      <c r="V24" s="33"/>
      <c r="W24" s="82">
        <f t="shared" si="5"/>
        <v>0</v>
      </c>
      <c r="X24" s="190"/>
    </row>
    <row r="25" spans="2:24" ht="16.5" thickTop="1" thickBot="1">
      <c r="B25" s="189"/>
      <c r="C25" s="77">
        <f>'2018'!G22</f>
        <v>43277.770833333336</v>
      </c>
      <c r="D25" s="80" t="str">
        <f>'2018'!H22</f>
        <v>Tue</v>
      </c>
      <c r="E25" s="78" t="s">
        <v>163</v>
      </c>
      <c r="F25" s="79" t="str">
        <f>'2018'!I22</f>
        <v>Denmark</v>
      </c>
      <c r="G25" s="79" t="str">
        <f>'2018'!J22</f>
        <v>France</v>
      </c>
      <c r="H25" s="191" t="str">
        <f>IF('2018'!K22="","",'2018'!K22)</f>
        <v/>
      </c>
      <c r="I25" s="191" t="str">
        <f>IF('2018'!L22="","",'2018'!L22)</f>
        <v/>
      </c>
      <c r="J25" s="62" t="str">
        <f t="shared" si="6"/>
        <v>26/06/18</v>
      </c>
      <c r="K25" s="62">
        <f>IF(OR(H25="",I25=""),3,IF('2018'!K22&gt;'2018'!L22,1,IF('2018'!L22&gt;'2018'!K22,2,IF(OR(H25="",I25=""),3,0))))</f>
        <v>3</v>
      </c>
      <c r="L25" s="62">
        <f t="shared" si="0"/>
        <v>0</v>
      </c>
      <c r="M25" s="62">
        <f t="shared" si="1"/>
        <v>0</v>
      </c>
      <c r="N25" s="62">
        <f t="shared" si="2"/>
        <v>0</v>
      </c>
      <c r="O25" s="33"/>
      <c r="P25" s="33"/>
      <c r="Q25" s="82">
        <f t="shared" si="3"/>
        <v>0</v>
      </c>
      <c r="R25" s="33"/>
      <c r="S25" s="33"/>
      <c r="T25" s="82">
        <f t="shared" si="4"/>
        <v>0</v>
      </c>
      <c r="U25" s="33"/>
      <c r="V25" s="33"/>
      <c r="W25" s="82">
        <f t="shared" si="5"/>
        <v>0</v>
      </c>
      <c r="X25" s="190"/>
    </row>
    <row r="26" spans="2:24" ht="16.5" thickTop="1" thickBot="1">
      <c r="B26" s="189"/>
      <c r="C26" s="77">
        <f>'2018'!G23</f>
        <v>43277.770833333336</v>
      </c>
      <c r="D26" s="80" t="str">
        <f>'2018'!H23</f>
        <v>Tue</v>
      </c>
      <c r="E26" s="78" t="s">
        <v>163</v>
      </c>
      <c r="F26" s="79" t="str">
        <f>'2018'!I23</f>
        <v>Australia</v>
      </c>
      <c r="G26" s="79" t="str">
        <f>'2018'!J23</f>
        <v>Peru</v>
      </c>
      <c r="H26" s="191" t="str">
        <f>IF('2018'!K23="","",'2018'!K23)</f>
        <v/>
      </c>
      <c r="I26" s="191" t="str">
        <f>IF('2018'!L23="","",'2018'!L23)</f>
        <v/>
      </c>
      <c r="J26" s="62" t="str">
        <f t="shared" si="6"/>
        <v>26/06/18</v>
      </c>
      <c r="K26" s="62">
        <f>IF(OR(H26="",I26=""),3,IF('2018'!K23&gt;'2018'!L23,1,IF('2018'!L23&gt;'2018'!K23,2,IF(OR(H26="",I26=""),3,0))))</f>
        <v>3</v>
      </c>
      <c r="L26" s="62">
        <f t="shared" si="0"/>
        <v>0</v>
      </c>
      <c r="M26" s="62">
        <f t="shared" si="1"/>
        <v>0</v>
      </c>
      <c r="N26" s="62">
        <f t="shared" si="2"/>
        <v>0</v>
      </c>
      <c r="O26" s="33"/>
      <c r="P26" s="33"/>
      <c r="Q26" s="82">
        <f t="shared" si="3"/>
        <v>0</v>
      </c>
      <c r="R26" s="33"/>
      <c r="S26" s="33"/>
      <c r="T26" s="82">
        <f t="shared" si="4"/>
        <v>0</v>
      </c>
      <c r="U26" s="33"/>
      <c r="V26" s="33"/>
      <c r="W26" s="82">
        <f t="shared" si="5"/>
        <v>0</v>
      </c>
      <c r="X26" s="190"/>
    </row>
    <row r="27" spans="2:24" ht="16.5" thickTop="1" thickBot="1">
      <c r="B27" s="189"/>
      <c r="C27" s="77">
        <f>'2018'!G24</f>
        <v>43267.729166666672</v>
      </c>
      <c r="D27" s="80" t="str">
        <f>'2018'!H24</f>
        <v>Sat</v>
      </c>
      <c r="E27" s="78" t="s">
        <v>164</v>
      </c>
      <c r="F27" s="79" t="str">
        <f>'2018'!I24</f>
        <v>Argentina</v>
      </c>
      <c r="G27" s="79" t="str">
        <f>'2018'!J24</f>
        <v>Iceland</v>
      </c>
      <c r="H27" s="191" t="str">
        <f>IF('2018'!K24="","",'2018'!K24)</f>
        <v/>
      </c>
      <c r="I27" s="191" t="str">
        <f>IF('2018'!L24="","",'2018'!L24)</f>
        <v/>
      </c>
      <c r="J27" s="62" t="str">
        <f t="shared" si="6"/>
        <v>16/06/18</v>
      </c>
      <c r="K27" s="62">
        <f>IF(OR(H27="",I27=""),3,IF('2018'!K24&gt;'2018'!L24,1,IF('2018'!L24&gt;'2018'!K24,2,IF(OR(H27="",I27=""),3,0))))</f>
        <v>3</v>
      </c>
      <c r="L27" s="62">
        <f t="shared" si="0"/>
        <v>0</v>
      </c>
      <c r="M27" s="62">
        <f t="shared" si="1"/>
        <v>0</v>
      </c>
      <c r="N27" s="62">
        <f t="shared" si="2"/>
        <v>0</v>
      </c>
      <c r="O27" s="33"/>
      <c r="P27" s="33"/>
      <c r="Q27" s="82">
        <f t="shared" si="3"/>
        <v>0</v>
      </c>
      <c r="R27" s="33"/>
      <c r="S27" s="33"/>
      <c r="T27" s="82">
        <f t="shared" si="4"/>
        <v>0</v>
      </c>
      <c r="U27" s="33"/>
      <c r="V27" s="33"/>
      <c r="W27" s="82">
        <f t="shared" si="5"/>
        <v>0</v>
      </c>
      <c r="X27" s="190"/>
    </row>
    <row r="28" spans="2:24" ht="16.5" thickTop="1" thickBot="1">
      <c r="B28" s="189"/>
      <c r="C28" s="77">
        <f>'2018'!G25</f>
        <v>43267.979166666672</v>
      </c>
      <c r="D28" s="80" t="str">
        <f>'2018'!H25</f>
        <v>Sat</v>
      </c>
      <c r="E28" s="78" t="s">
        <v>164</v>
      </c>
      <c r="F28" s="79" t="str">
        <f>'2018'!I25</f>
        <v>Croatia</v>
      </c>
      <c r="G28" s="79" t="str">
        <f>'2018'!J25</f>
        <v>Nigeria</v>
      </c>
      <c r="H28" s="191" t="str">
        <f>IF('2018'!K25="","",'2018'!K25)</f>
        <v/>
      </c>
      <c r="I28" s="191" t="str">
        <f>IF('2018'!L25="","",'2018'!L25)</f>
        <v/>
      </c>
      <c r="J28" s="62" t="str">
        <f t="shared" si="6"/>
        <v>16/06/18</v>
      </c>
      <c r="K28" s="62">
        <f>IF(OR(H28="",I28=""),3,IF('2018'!K25&gt;'2018'!L25,1,IF('2018'!L25&gt;'2018'!K25,2,IF(OR(H28="",I28=""),3,0))))</f>
        <v>3</v>
      </c>
      <c r="L28" s="62">
        <f t="shared" si="0"/>
        <v>0</v>
      </c>
      <c r="M28" s="62">
        <f t="shared" si="1"/>
        <v>0</v>
      </c>
      <c r="N28" s="62">
        <f t="shared" si="2"/>
        <v>0</v>
      </c>
      <c r="O28" s="33"/>
      <c r="P28" s="33"/>
      <c r="Q28" s="82">
        <f t="shared" si="3"/>
        <v>0</v>
      </c>
      <c r="R28" s="33"/>
      <c r="S28" s="33"/>
      <c r="T28" s="82">
        <f t="shared" si="4"/>
        <v>0</v>
      </c>
      <c r="U28" s="33"/>
      <c r="V28" s="33"/>
      <c r="W28" s="82">
        <f t="shared" si="5"/>
        <v>0</v>
      </c>
      <c r="X28" s="190"/>
    </row>
    <row r="29" spans="2:24" ht="16.5" thickTop="1" thickBot="1">
      <c r="B29" s="189"/>
      <c r="C29" s="77">
        <f>'2018'!G26</f>
        <v>43272.9375</v>
      </c>
      <c r="D29" s="80" t="str">
        <f>'2018'!H26</f>
        <v>Thu</v>
      </c>
      <c r="E29" s="78" t="s">
        <v>164</v>
      </c>
      <c r="F29" s="79" t="str">
        <f>'2018'!I26</f>
        <v>Argentina</v>
      </c>
      <c r="G29" s="79" t="str">
        <f>'2018'!J26</f>
        <v>Croatia</v>
      </c>
      <c r="H29" s="191" t="str">
        <f>IF('2018'!K26="","",'2018'!K26)</f>
        <v/>
      </c>
      <c r="I29" s="191" t="str">
        <f>IF('2018'!L26="","",'2018'!L26)</f>
        <v/>
      </c>
      <c r="J29" s="62" t="str">
        <f t="shared" si="6"/>
        <v>21/06/18</v>
      </c>
      <c r="K29" s="62">
        <f>IF(OR(H29="",I29=""),3,IF('2018'!K26&gt;'2018'!L26,1,IF('2018'!L26&gt;'2018'!K26,2,IF(OR(H29="",I29=""),3,0))))</f>
        <v>3</v>
      </c>
      <c r="L29" s="62">
        <f t="shared" si="0"/>
        <v>0</v>
      </c>
      <c r="M29" s="62">
        <f t="shared" si="1"/>
        <v>0</v>
      </c>
      <c r="N29" s="62">
        <f t="shared" si="2"/>
        <v>0</v>
      </c>
      <c r="O29" s="33"/>
      <c r="P29" s="33"/>
      <c r="Q29" s="82">
        <f t="shared" si="3"/>
        <v>0</v>
      </c>
      <c r="R29" s="33"/>
      <c r="S29" s="33"/>
      <c r="T29" s="82">
        <f t="shared" si="4"/>
        <v>0</v>
      </c>
      <c r="U29" s="33"/>
      <c r="V29" s="33"/>
      <c r="W29" s="82">
        <f t="shared" si="5"/>
        <v>0</v>
      </c>
      <c r="X29" s="190"/>
    </row>
    <row r="30" spans="2:24" ht="16.5" thickTop="1" thickBot="1">
      <c r="B30" s="189"/>
      <c r="C30" s="77">
        <f>'2018'!G27</f>
        <v>43273.8125</v>
      </c>
      <c r="D30" s="80" t="str">
        <f>'2018'!H27</f>
        <v>Fri</v>
      </c>
      <c r="E30" s="78" t="s">
        <v>164</v>
      </c>
      <c r="F30" s="79" t="str">
        <f>'2018'!I27</f>
        <v>Nigeria</v>
      </c>
      <c r="G30" s="79" t="str">
        <f>'2018'!J27</f>
        <v>Iceland</v>
      </c>
      <c r="H30" s="191" t="str">
        <f>IF('2018'!K27="","",'2018'!K27)</f>
        <v/>
      </c>
      <c r="I30" s="191" t="str">
        <f>IF('2018'!L27="","",'2018'!L27)</f>
        <v/>
      </c>
      <c r="J30" s="62" t="str">
        <f t="shared" si="6"/>
        <v>22/06/18</v>
      </c>
      <c r="K30" s="62">
        <f>IF(OR(H30="",I30=""),3,IF('2018'!K27&gt;'2018'!L27,1,IF('2018'!L27&gt;'2018'!K27,2,IF(OR(H30="",I30=""),3,0))))</f>
        <v>3</v>
      </c>
      <c r="L30" s="62">
        <f t="shared" si="0"/>
        <v>0</v>
      </c>
      <c r="M30" s="62">
        <f t="shared" si="1"/>
        <v>0</v>
      </c>
      <c r="N30" s="62">
        <f t="shared" si="2"/>
        <v>0</v>
      </c>
      <c r="O30" s="33"/>
      <c r="P30" s="33"/>
      <c r="Q30" s="82">
        <f t="shared" si="3"/>
        <v>0</v>
      </c>
      <c r="R30" s="33"/>
      <c r="S30" s="33"/>
      <c r="T30" s="82">
        <f t="shared" si="4"/>
        <v>0</v>
      </c>
      <c r="U30" s="33"/>
      <c r="V30" s="33"/>
      <c r="W30" s="82">
        <f t="shared" si="5"/>
        <v>0</v>
      </c>
      <c r="X30" s="190"/>
    </row>
    <row r="31" spans="2:24" ht="16.5" thickTop="1" thickBot="1">
      <c r="B31" s="189"/>
      <c r="C31" s="77">
        <f>'2018'!G28</f>
        <v>43277.9375</v>
      </c>
      <c r="D31" s="80" t="str">
        <f>'2018'!H28</f>
        <v>Tue</v>
      </c>
      <c r="E31" s="78" t="s">
        <v>164</v>
      </c>
      <c r="F31" s="79" t="str">
        <f>'2018'!I28</f>
        <v>Nigeria</v>
      </c>
      <c r="G31" s="79" t="str">
        <f>'2018'!J28</f>
        <v>Argentina</v>
      </c>
      <c r="H31" s="191" t="str">
        <f>IF('2018'!K28="","",'2018'!K28)</f>
        <v/>
      </c>
      <c r="I31" s="191" t="str">
        <f>IF('2018'!L28="","",'2018'!L28)</f>
        <v/>
      </c>
      <c r="J31" s="62" t="str">
        <f t="shared" si="6"/>
        <v>26/06/18</v>
      </c>
      <c r="K31" s="62">
        <f>IF(OR(H31="",I31=""),3,IF('2018'!K28&gt;'2018'!L28,1,IF('2018'!L28&gt;'2018'!K28,2,IF(OR(H31="",I31=""),3,0))))</f>
        <v>3</v>
      </c>
      <c r="L31" s="62">
        <f t="shared" si="0"/>
        <v>0</v>
      </c>
      <c r="M31" s="62">
        <f t="shared" si="1"/>
        <v>0</v>
      </c>
      <c r="N31" s="62">
        <f t="shared" si="2"/>
        <v>0</v>
      </c>
      <c r="O31" s="33"/>
      <c r="P31" s="33"/>
      <c r="Q31" s="82">
        <f t="shared" si="3"/>
        <v>0</v>
      </c>
      <c r="R31" s="33"/>
      <c r="S31" s="33"/>
      <c r="T31" s="82">
        <f t="shared" si="4"/>
        <v>0</v>
      </c>
      <c r="U31" s="33"/>
      <c r="V31" s="33"/>
      <c r="W31" s="82">
        <f t="shared" si="5"/>
        <v>0</v>
      </c>
      <c r="X31" s="190"/>
    </row>
    <row r="32" spans="2:24" ht="16.5" thickTop="1" thickBot="1">
      <c r="B32" s="189"/>
      <c r="C32" s="77">
        <f>'2018'!G29</f>
        <v>43277.8125</v>
      </c>
      <c r="D32" s="80" t="str">
        <f>'2018'!H29</f>
        <v>Tue</v>
      </c>
      <c r="E32" s="78" t="s">
        <v>164</v>
      </c>
      <c r="F32" s="79" t="str">
        <f>'2018'!I29</f>
        <v>Iceland</v>
      </c>
      <c r="G32" s="79" t="str">
        <f>'2018'!J29</f>
        <v>Croatia</v>
      </c>
      <c r="H32" s="191" t="str">
        <f>IF('2018'!K29="","",'2018'!K29)</f>
        <v/>
      </c>
      <c r="I32" s="191" t="str">
        <f>IF('2018'!L29="","",'2018'!L29)</f>
        <v/>
      </c>
      <c r="J32" s="62" t="str">
        <f t="shared" si="6"/>
        <v>26/06/18</v>
      </c>
      <c r="K32" s="62">
        <f>IF(OR(H32="",I32=""),3,IF('2018'!K29&gt;'2018'!L29,1,IF('2018'!L29&gt;'2018'!K29,2,IF(OR(H32="",I32=""),3,0))))</f>
        <v>3</v>
      </c>
      <c r="L32" s="62">
        <f t="shared" si="0"/>
        <v>0</v>
      </c>
      <c r="M32" s="62">
        <f t="shared" si="1"/>
        <v>0</v>
      </c>
      <c r="N32" s="62">
        <f t="shared" si="2"/>
        <v>0</v>
      </c>
      <c r="O32" s="33"/>
      <c r="P32" s="33"/>
      <c r="Q32" s="82">
        <f t="shared" si="3"/>
        <v>0</v>
      </c>
      <c r="R32" s="33"/>
      <c r="S32" s="33"/>
      <c r="T32" s="82">
        <f t="shared" si="4"/>
        <v>0</v>
      </c>
      <c r="U32" s="33"/>
      <c r="V32" s="33"/>
      <c r="W32" s="82">
        <f t="shared" si="5"/>
        <v>0</v>
      </c>
      <c r="X32" s="190"/>
    </row>
    <row r="33" spans="2:24" ht="16.5" thickTop="1" thickBot="1">
      <c r="B33" s="189"/>
      <c r="C33" s="77">
        <f>'2018'!G30</f>
        <v>43268.6875</v>
      </c>
      <c r="D33" s="80" t="str">
        <f>'2018'!H30</f>
        <v>Sun</v>
      </c>
      <c r="E33" s="78" t="s">
        <v>165</v>
      </c>
      <c r="F33" s="79" t="str">
        <f>'2018'!I30</f>
        <v>Costa Rica</v>
      </c>
      <c r="G33" s="79" t="str">
        <f>'2018'!J30</f>
        <v>Serbia</v>
      </c>
      <c r="H33" s="191" t="str">
        <f>IF('2018'!K30="","",'2018'!K30)</f>
        <v/>
      </c>
      <c r="I33" s="191" t="str">
        <f>IF('2018'!L30="","",'2018'!L30)</f>
        <v/>
      </c>
      <c r="J33" s="62" t="str">
        <f t="shared" si="6"/>
        <v>17/06/18</v>
      </c>
      <c r="K33" s="62">
        <f>IF(OR(H33="",I33=""),3,IF('2018'!K30&gt;'2018'!L30,1,IF('2018'!L30&gt;'2018'!K30,2,IF(OR(H33="",I33=""),3,0))))</f>
        <v>3</v>
      </c>
      <c r="L33" s="62">
        <f t="shared" si="0"/>
        <v>0</v>
      </c>
      <c r="M33" s="62">
        <f t="shared" si="1"/>
        <v>0</v>
      </c>
      <c r="N33" s="62">
        <f t="shared" si="2"/>
        <v>0</v>
      </c>
      <c r="O33" s="33"/>
      <c r="P33" s="33"/>
      <c r="Q33" s="82">
        <f t="shared" si="3"/>
        <v>0</v>
      </c>
      <c r="R33" s="33"/>
      <c r="S33" s="33"/>
      <c r="T33" s="82">
        <f t="shared" si="4"/>
        <v>0</v>
      </c>
      <c r="U33" s="33"/>
      <c r="V33" s="33"/>
      <c r="W33" s="82">
        <f t="shared" si="5"/>
        <v>0</v>
      </c>
      <c r="X33" s="190"/>
    </row>
    <row r="34" spans="2:24" ht="16.5" thickTop="1" thickBot="1">
      <c r="B34" s="189"/>
      <c r="C34" s="77">
        <f>'2018'!G31</f>
        <v>43268.8125</v>
      </c>
      <c r="D34" s="80" t="str">
        <f>'2018'!H31</f>
        <v>Sun</v>
      </c>
      <c r="E34" s="78" t="s">
        <v>165</v>
      </c>
      <c r="F34" s="79" t="str">
        <f>'2018'!I31</f>
        <v>Brazil</v>
      </c>
      <c r="G34" s="79" t="str">
        <f>'2018'!J31</f>
        <v>Switzerland</v>
      </c>
      <c r="H34" s="191" t="str">
        <f>IF('2018'!K31="","",'2018'!K31)</f>
        <v/>
      </c>
      <c r="I34" s="191" t="str">
        <f>IF('2018'!L31="","",'2018'!L31)</f>
        <v/>
      </c>
      <c r="J34" s="62" t="str">
        <f t="shared" si="6"/>
        <v>17/06/18</v>
      </c>
      <c r="K34" s="62">
        <f>IF(OR(H34="",I34=""),3,IF('2018'!K31&gt;'2018'!L31,1,IF('2018'!L31&gt;'2018'!K31,2,IF(OR(H34="",I34=""),3,0))))</f>
        <v>3</v>
      </c>
      <c r="L34" s="62">
        <f t="shared" si="0"/>
        <v>0</v>
      </c>
      <c r="M34" s="62">
        <f t="shared" si="1"/>
        <v>0</v>
      </c>
      <c r="N34" s="62">
        <f t="shared" si="2"/>
        <v>0</v>
      </c>
      <c r="O34" s="33"/>
      <c r="P34" s="33"/>
      <c r="Q34" s="82">
        <f t="shared" si="3"/>
        <v>0</v>
      </c>
      <c r="R34" s="33"/>
      <c r="S34" s="33"/>
      <c r="T34" s="82">
        <f t="shared" si="4"/>
        <v>0</v>
      </c>
      <c r="U34" s="33"/>
      <c r="V34" s="33"/>
      <c r="W34" s="82">
        <f t="shared" si="5"/>
        <v>0</v>
      </c>
      <c r="X34" s="190"/>
    </row>
    <row r="35" spans="2:24" ht="16.5" thickTop="1" thickBot="1">
      <c r="B35" s="189"/>
      <c r="C35" s="77">
        <f>'2018'!G32</f>
        <v>43273.6875</v>
      </c>
      <c r="D35" s="80" t="str">
        <f>'2018'!H32</f>
        <v>Fri</v>
      </c>
      <c r="E35" s="78" t="s">
        <v>165</v>
      </c>
      <c r="F35" s="79" t="str">
        <f>'2018'!I32</f>
        <v>Brazil</v>
      </c>
      <c r="G35" s="79" t="str">
        <f>'2018'!J32</f>
        <v>Costa Rica</v>
      </c>
      <c r="H35" s="191" t="str">
        <f>IF('2018'!K32="","",'2018'!K32)</f>
        <v/>
      </c>
      <c r="I35" s="191" t="str">
        <f>IF('2018'!L32="","",'2018'!L32)</f>
        <v/>
      </c>
      <c r="J35" s="62" t="str">
        <f t="shared" si="6"/>
        <v>22/06/18</v>
      </c>
      <c r="K35" s="62">
        <f>IF(OR(H35="",I35=""),3,IF('2018'!K32&gt;'2018'!L32,1,IF('2018'!L32&gt;'2018'!K32,2,IF(OR(H35="",I35=""),3,0))))</f>
        <v>3</v>
      </c>
      <c r="L35" s="62">
        <f t="shared" si="0"/>
        <v>0</v>
      </c>
      <c r="M35" s="62">
        <f t="shared" si="1"/>
        <v>0</v>
      </c>
      <c r="N35" s="62">
        <f t="shared" si="2"/>
        <v>0</v>
      </c>
      <c r="O35" s="33"/>
      <c r="P35" s="33"/>
      <c r="Q35" s="82">
        <f t="shared" si="3"/>
        <v>0</v>
      </c>
      <c r="R35" s="33"/>
      <c r="S35" s="33"/>
      <c r="T35" s="82">
        <f t="shared" si="4"/>
        <v>0</v>
      </c>
      <c r="U35" s="33"/>
      <c r="V35" s="33"/>
      <c r="W35" s="82">
        <f t="shared" si="5"/>
        <v>0</v>
      </c>
      <c r="X35" s="190"/>
    </row>
    <row r="36" spans="2:24" ht="16.5" thickTop="1" thickBot="1">
      <c r="B36" s="189"/>
      <c r="C36" s="77">
        <f>'2018'!G33</f>
        <v>43273.9375</v>
      </c>
      <c r="D36" s="80" t="str">
        <f>'2018'!H33</f>
        <v>Fri</v>
      </c>
      <c r="E36" s="78" t="s">
        <v>165</v>
      </c>
      <c r="F36" s="79" t="str">
        <f>'2018'!I33</f>
        <v>Serbia</v>
      </c>
      <c r="G36" s="79" t="str">
        <f>'2018'!J33</f>
        <v>Switzerland</v>
      </c>
      <c r="H36" s="191" t="str">
        <f>IF('2018'!K33="","",'2018'!K33)</f>
        <v/>
      </c>
      <c r="I36" s="191" t="str">
        <f>IF('2018'!L33="","",'2018'!L33)</f>
        <v/>
      </c>
      <c r="J36" s="62" t="str">
        <f t="shared" si="6"/>
        <v>22/06/18</v>
      </c>
      <c r="K36" s="62">
        <f>IF(OR(H36="",I36=""),3,IF('2018'!K33&gt;'2018'!L33,1,IF('2018'!L33&gt;'2018'!K33,2,IF(OR(H36="",I36=""),3,0))))</f>
        <v>3</v>
      </c>
      <c r="L36" s="62">
        <f t="shared" si="0"/>
        <v>0</v>
      </c>
      <c r="M36" s="62">
        <f t="shared" si="1"/>
        <v>0</v>
      </c>
      <c r="N36" s="62">
        <f t="shared" si="2"/>
        <v>0</v>
      </c>
      <c r="O36" s="33"/>
      <c r="P36" s="33"/>
      <c r="Q36" s="82">
        <f t="shared" si="3"/>
        <v>0</v>
      </c>
      <c r="R36" s="33"/>
      <c r="S36" s="33"/>
      <c r="T36" s="82">
        <f t="shared" si="4"/>
        <v>0</v>
      </c>
      <c r="U36" s="33"/>
      <c r="V36" s="33"/>
      <c r="W36" s="82">
        <f t="shared" si="5"/>
        <v>0</v>
      </c>
      <c r="X36" s="190"/>
    </row>
    <row r="37" spans="2:24" ht="16.5" thickTop="1" thickBot="1">
      <c r="B37" s="189"/>
      <c r="C37" s="77">
        <f>'2018'!G34</f>
        <v>43278.9375</v>
      </c>
      <c r="D37" s="80" t="str">
        <f>'2018'!H34</f>
        <v>Wed</v>
      </c>
      <c r="E37" s="78" t="s">
        <v>165</v>
      </c>
      <c r="F37" s="79" t="str">
        <f>'2018'!I34</f>
        <v>Serbia</v>
      </c>
      <c r="G37" s="79" t="str">
        <f>'2018'!J34</f>
        <v>Brazil</v>
      </c>
      <c r="H37" s="191" t="str">
        <f>IF('2018'!K34="","",'2018'!K34)</f>
        <v/>
      </c>
      <c r="I37" s="191" t="str">
        <f>IF('2018'!L34="","",'2018'!L34)</f>
        <v/>
      </c>
      <c r="J37" s="62" t="str">
        <f t="shared" si="6"/>
        <v>27/06/18</v>
      </c>
      <c r="K37" s="62">
        <f>IF(OR(H37="",I37=""),3,IF('2018'!K34&gt;'2018'!L34,1,IF('2018'!L34&gt;'2018'!K34,2,IF(OR(H37="",I37=""),3,0))))</f>
        <v>3</v>
      </c>
      <c r="L37" s="62">
        <f t="shared" si="0"/>
        <v>0</v>
      </c>
      <c r="M37" s="62">
        <f t="shared" si="1"/>
        <v>0</v>
      </c>
      <c r="N37" s="62">
        <f t="shared" si="2"/>
        <v>0</v>
      </c>
      <c r="O37" s="33"/>
      <c r="P37" s="33"/>
      <c r="Q37" s="82">
        <f t="shared" si="3"/>
        <v>0</v>
      </c>
      <c r="R37" s="33"/>
      <c r="S37" s="33"/>
      <c r="T37" s="82">
        <f t="shared" si="4"/>
        <v>0</v>
      </c>
      <c r="U37" s="33"/>
      <c r="V37" s="33"/>
      <c r="W37" s="82">
        <f t="shared" si="5"/>
        <v>0</v>
      </c>
      <c r="X37" s="190"/>
    </row>
    <row r="38" spans="2:24" ht="16.5" thickTop="1" thickBot="1">
      <c r="B38" s="189"/>
      <c r="C38" s="77">
        <f>'2018'!G35</f>
        <v>43278.9375</v>
      </c>
      <c r="D38" s="80" t="str">
        <f>'2018'!H35</f>
        <v>Wed</v>
      </c>
      <c r="E38" s="78" t="s">
        <v>165</v>
      </c>
      <c r="F38" s="79" t="str">
        <f>'2018'!I35</f>
        <v>Switzerland</v>
      </c>
      <c r="G38" s="79" t="str">
        <f>'2018'!J35</f>
        <v>Costa Rica</v>
      </c>
      <c r="H38" s="191" t="str">
        <f>IF('2018'!K35="","",'2018'!K35)</f>
        <v/>
      </c>
      <c r="I38" s="191" t="str">
        <f>IF('2018'!L35="","",'2018'!L35)</f>
        <v/>
      </c>
      <c r="J38" s="62" t="str">
        <f t="shared" si="6"/>
        <v>27/06/18</v>
      </c>
      <c r="K38" s="62">
        <f>IF(OR(H38="",I38=""),3,IF('2018'!K35&gt;'2018'!L35,1,IF('2018'!L35&gt;'2018'!K35,2,IF(OR(H38="",I38=""),3,0))))</f>
        <v>3</v>
      </c>
      <c r="L38" s="62">
        <f t="shared" si="0"/>
        <v>0</v>
      </c>
      <c r="M38" s="62">
        <f t="shared" si="1"/>
        <v>0</v>
      </c>
      <c r="N38" s="62">
        <f t="shared" si="2"/>
        <v>0</v>
      </c>
      <c r="O38" s="33"/>
      <c r="P38" s="33"/>
      <c r="Q38" s="82">
        <f t="shared" si="3"/>
        <v>0</v>
      </c>
      <c r="R38" s="33"/>
      <c r="S38" s="33"/>
      <c r="T38" s="82">
        <f t="shared" si="4"/>
        <v>0</v>
      </c>
      <c r="U38" s="33"/>
      <c r="V38" s="33"/>
      <c r="W38" s="82">
        <f t="shared" si="5"/>
        <v>0</v>
      </c>
      <c r="X38" s="190"/>
    </row>
    <row r="39" spans="2:24" ht="16.5" thickTop="1" thickBot="1">
      <c r="B39" s="189"/>
      <c r="C39" s="77">
        <f>'2018'!G36</f>
        <v>43268.8125</v>
      </c>
      <c r="D39" s="80" t="str">
        <f>'2018'!H36</f>
        <v>Sun</v>
      </c>
      <c r="E39" s="78" t="s">
        <v>166</v>
      </c>
      <c r="F39" s="79" t="str">
        <f>'2018'!I36</f>
        <v>Germany</v>
      </c>
      <c r="G39" s="79" t="str">
        <f>'2018'!J36</f>
        <v>Mexico</v>
      </c>
      <c r="H39" s="191" t="str">
        <f>IF('2018'!K36="","",'2018'!K36)</f>
        <v/>
      </c>
      <c r="I39" s="191" t="str">
        <f>IF('2018'!L36="","",'2018'!L36)</f>
        <v/>
      </c>
      <c r="J39" s="62" t="str">
        <f t="shared" si="6"/>
        <v>17/06/18</v>
      </c>
      <c r="K39" s="62">
        <f>IF(OR(H39="",I39=""),3,IF('2018'!K36&gt;'2018'!L36,1,IF('2018'!L36&gt;'2018'!K36,2,IF(OR(H39="",I39=""),3,0))))</f>
        <v>3</v>
      </c>
      <c r="L39" s="62">
        <f t="shared" si="0"/>
        <v>0</v>
      </c>
      <c r="M39" s="62">
        <f t="shared" si="1"/>
        <v>0</v>
      </c>
      <c r="N39" s="62">
        <f t="shared" si="2"/>
        <v>0</v>
      </c>
      <c r="O39" s="33"/>
      <c r="P39" s="33"/>
      <c r="Q39" s="82">
        <f t="shared" si="3"/>
        <v>0</v>
      </c>
      <c r="R39" s="33"/>
      <c r="S39" s="33"/>
      <c r="T39" s="82">
        <f t="shared" si="4"/>
        <v>0</v>
      </c>
      <c r="U39" s="33"/>
      <c r="V39" s="33"/>
      <c r="W39" s="82">
        <f t="shared" si="5"/>
        <v>0</v>
      </c>
      <c r="X39" s="190"/>
    </row>
    <row r="40" spans="2:24" ht="16.5" thickTop="1" thickBot="1">
      <c r="B40" s="189"/>
      <c r="C40" s="77">
        <f>'2018'!G37</f>
        <v>43269.6875</v>
      </c>
      <c r="D40" s="80" t="str">
        <f>'2018'!H37</f>
        <v>Mon</v>
      </c>
      <c r="E40" s="78" t="s">
        <v>166</v>
      </c>
      <c r="F40" s="79" t="str">
        <f>'2018'!I37</f>
        <v>Sweden</v>
      </c>
      <c r="G40" s="79" t="str">
        <f>'2018'!J37</f>
        <v>Korea Republic</v>
      </c>
      <c r="H40" s="191" t="str">
        <f>IF('2018'!K37="","",'2018'!K37)</f>
        <v/>
      </c>
      <c r="I40" s="191" t="str">
        <f>IF('2018'!L37="","",'2018'!L37)</f>
        <v/>
      </c>
      <c r="J40" s="62" t="str">
        <f t="shared" si="6"/>
        <v>18/06/18</v>
      </c>
      <c r="K40" s="62">
        <f>IF(OR(H40="",I40=""),3,IF('2018'!K37&gt;'2018'!L37,1,IF('2018'!L37&gt;'2018'!K37,2,IF(OR(H40="",I40=""),3,0))))</f>
        <v>3</v>
      </c>
      <c r="L40" s="62">
        <f t="shared" si="0"/>
        <v>0</v>
      </c>
      <c r="M40" s="62">
        <f t="shared" si="1"/>
        <v>0</v>
      </c>
      <c r="N40" s="62">
        <f t="shared" si="2"/>
        <v>0</v>
      </c>
      <c r="O40" s="33"/>
      <c r="P40" s="33"/>
      <c r="Q40" s="82">
        <f t="shared" si="3"/>
        <v>0</v>
      </c>
      <c r="R40" s="33"/>
      <c r="S40" s="33"/>
      <c r="T40" s="82">
        <f t="shared" si="4"/>
        <v>0</v>
      </c>
      <c r="U40" s="33"/>
      <c r="V40" s="33"/>
      <c r="W40" s="82">
        <f t="shared" si="5"/>
        <v>0</v>
      </c>
      <c r="X40" s="190"/>
    </row>
    <row r="41" spans="2:24" ht="16.5" thickTop="1" thickBot="1">
      <c r="B41" s="189"/>
      <c r="C41" s="77">
        <f>'2018'!G38</f>
        <v>43274.8125</v>
      </c>
      <c r="D41" s="80" t="str">
        <f>'2018'!H38</f>
        <v>Sat</v>
      </c>
      <c r="E41" s="78" t="s">
        <v>166</v>
      </c>
      <c r="F41" s="79" t="str">
        <f>'2018'!I38</f>
        <v>Germany</v>
      </c>
      <c r="G41" s="79" t="str">
        <f>'2018'!J38</f>
        <v>Sweden</v>
      </c>
      <c r="H41" s="191" t="str">
        <f>IF('2018'!K38="","",'2018'!K38)</f>
        <v/>
      </c>
      <c r="I41" s="191" t="str">
        <f>IF('2018'!L38="","",'2018'!L38)</f>
        <v/>
      </c>
      <c r="J41" s="62" t="str">
        <f t="shared" si="6"/>
        <v>23/06/18</v>
      </c>
      <c r="K41" s="62">
        <f>IF(OR(H41="",I41=""),3,IF('2018'!K38&gt;'2018'!L38,1,IF('2018'!L38&gt;'2018'!K38,2,IF(OR(H41="",I41=""),3,0))))</f>
        <v>3</v>
      </c>
      <c r="L41" s="62">
        <f t="shared" si="0"/>
        <v>0</v>
      </c>
      <c r="M41" s="62">
        <f t="shared" si="1"/>
        <v>0</v>
      </c>
      <c r="N41" s="62">
        <f t="shared" si="2"/>
        <v>0</v>
      </c>
      <c r="O41" s="33"/>
      <c r="P41" s="33"/>
      <c r="Q41" s="82">
        <f t="shared" ref="Q41:Q72" si="7">IF(AND($H41=O41,$I41=P41,O41&lt;&gt;"",P41&lt;&gt;""),3,IF(AND($K41=L41,O41&lt;&gt;"",P41&lt;&gt;""),1,0))</f>
        <v>0</v>
      </c>
      <c r="R41" s="33"/>
      <c r="S41" s="33"/>
      <c r="T41" s="82">
        <f t="shared" ref="T41:T72" si="8">IF(AND($H41=R41,$I41=S41,R41&lt;&gt;"",S41&lt;&gt;""),3,IF(AND($K41=M41,R41&lt;&gt;"",S41&lt;&gt;""),1,0))</f>
        <v>0</v>
      </c>
      <c r="U41" s="33"/>
      <c r="V41" s="33"/>
      <c r="W41" s="82">
        <f t="shared" ref="W41:W72" si="9">IF(AND($H41=U41,$I41=V41,U41&lt;&gt;"",V41&lt;&gt;""),3,IF(AND($K41=N41,U41&lt;&gt;"",V41&lt;&gt;""),1,0))</f>
        <v>0</v>
      </c>
      <c r="X41" s="190"/>
    </row>
    <row r="42" spans="2:24" ht="16.5" thickTop="1" thickBot="1">
      <c r="B42" s="189"/>
      <c r="C42" s="77">
        <f>'2018'!G39</f>
        <v>43274.9375</v>
      </c>
      <c r="D42" s="80" t="str">
        <f>'2018'!H39</f>
        <v>Sat</v>
      </c>
      <c r="E42" s="78" t="s">
        <v>166</v>
      </c>
      <c r="F42" s="79" t="str">
        <f>'2018'!I39</f>
        <v>Korea Republic</v>
      </c>
      <c r="G42" s="79" t="str">
        <f>'2018'!J39</f>
        <v>Mexico</v>
      </c>
      <c r="H42" s="191" t="str">
        <f>IF('2018'!K39="","",'2018'!K39)</f>
        <v/>
      </c>
      <c r="I42" s="191" t="str">
        <f>IF('2018'!L39="","",'2018'!L39)</f>
        <v/>
      </c>
      <c r="J42" s="62" t="str">
        <f t="shared" si="6"/>
        <v>23/06/18</v>
      </c>
      <c r="K42" s="62">
        <f>IF(OR(H42="",I42=""),3,IF('2018'!K39&gt;'2018'!L39,1,IF('2018'!L39&gt;'2018'!K39,2,IF(OR(H42="",I42=""),3,0))))</f>
        <v>3</v>
      </c>
      <c r="L42" s="62">
        <f t="shared" si="0"/>
        <v>0</v>
      </c>
      <c r="M42" s="62">
        <f t="shared" si="1"/>
        <v>0</v>
      </c>
      <c r="N42" s="62">
        <f t="shared" si="2"/>
        <v>0</v>
      </c>
      <c r="O42" s="33"/>
      <c r="P42" s="33"/>
      <c r="Q42" s="82">
        <f t="shared" si="7"/>
        <v>0</v>
      </c>
      <c r="R42" s="33"/>
      <c r="S42" s="33"/>
      <c r="T42" s="82">
        <f t="shared" si="8"/>
        <v>0</v>
      </c>
      <c r="U42" s="33"/>
      <c r="V42" s="33"/>
      <c r="W42" s="82">
        <f t="shared" si="9"/>
        <v>0</v>
      </c>
      <c r="X42" s="190"/>
    </row>
    <row r="43" spans="2:24" ht="16.5" thickTop="1" thickBot="1">
      <c r="B43" s="189"/>
      <c r="C43" s="77">
        <f>'2018'!G40</f>
        <v>43278.770833333336</v>
      </c>
      <c r="D43" s="80" t="str">
        <f>'2018'!H40</f>
        <v>Wed</v>
      </c>
      <c r="E43" s="78" t="s">
        <v>166</v>
      </c>
      <c r="F43" s="79" t="str">
        <f>'2018'!I40</f>
        <v>Korea Republic</v>
      </c>
      <c r="G43" s="79" t="str">
        <f>'2018'!J40</f>
        <v>Germany</v>
      </c>
      <c r="H43" s="191" t="str">
        <f>IF('2018'!K40="","",'2018'!K40)</f>
        <v/>
      </c>
      <c r="I43" s="191" t="str">
        <f>IF('2018'!L40="","",'2018'!L40)</f>
        <v/>
      </c>
      <c r="J43" s="62" t="str">
        <f t="shared" si="6"/>
        <v>27/06/18</v>
      </c>
      <c r="K43" s="62">
        <f>IF(OR(H43="",I43=""),3,IF('2018'!K40&gt;'2018'!L40,1,IF('2018'!L40&gt;'2018'!K40,2,IF(OR(H43="",I43=""),3,0))))</f>
        <v>3</v>
      </c>
      <c r="L43" s="62">
        <f t="shared" si="0"/>
        <v>0</v>
      </c>
      <c r="M43" s="62">
        <f t="shared" si="1"/>
        <v>0</v>
      </c>
      <c r="N43" s="62">
        <f t="shared" si="2"/>
        <v>0</v>
      </c>
      <c r="O43" s="33"/>
      <c r="P43" s="33"/>
      <c r="Q43" s="82">
        <f t="shared" si="7"/>
        <v>0</v>
      </c>
      <c r="R43" s="33"/>
      <c r="S43" s="33"/>
      <c r="T43" s="82">
        <f t="shared" si="8"/>
        <v>0</v>
      </c>
      <c r="U43" s="33"/>
      <c r="V43" s="33"/>
      <c r="W43" s="82">
        <f t="shared" si="9"/>
        <v>0</v>
      </c>
      <c r="X43" s="190"/>
    </row>
    <row r="44" spans="2:24" ht="16.5" thickTop="1" thickBot="1">
      <c r="B44" s="189"/>
      <c r="C44" s="77">
        <f>'2018'!G41</f>
        <v>43278.770833333336</v>
      </c>
      <c r="D44" s="80" t="str">
        <f>'2018'!H41</f>
        <v>Wed</v>
      </c>
      <c r="E44" s="78" t="s">
        <v>166</v>
      </c>
      <c r="F44" s="79" t="str">
        <f>'2018'!I41</f>
        <v>Mexico</v>
      </c>
      <c r="G44" s="79" t="str">
        <f>'2018'!J41</f>
        <v>Sweden</v>
      </c>
      <c r="H44" s="191" t="str">
        <f>IF('2018'!K41="","",'2018'!K41)</f>
        <v/>
      </c>
      <c r="I44" s="191" t="str">
        <f>IF('2018'!L41="","",'2018'!L41)</f>
        <v/>
      </c>
      <c r="J44" s="62" t="str">
        <f t="shared" si="6"/>
        <v>27/06/18</v>
      </c>
      <c r="K44" s="62">
        <f>IF(OR(H44="",I44=""),3,IF('2018'!K41&gt;'2018'!L41,1,IF('2018'!L41&gt;'2018'!K41,2,IF(OR(H44="",I44=""),3,0))))</f>
        <v>3</v>
      </c>
      <c r="L44" s="62">
        <f t="shared" si="0"/>
        <v>0</v>
      </c>
      <c r="M44" s="62">
        <f t="shared" si="1"/>
        <v>0</v>
      </c>
      <c r="N44" s="62">
        <f t="shared" si="2"/>
        <v>0</v>
      </c>
      <c r="O44" s="33"/>
      <c r="P44" s="33"/>
      <c r="Q44" s="82">
        <f t="shared" si="7"/>
        <v>0</v>
      </c>
      <c r="R44" s="33"/>
      <c r="S44" s="33"/>
      <c r="T44" s="82">
        <f t="shared" si="8"/>
        <v>0</v>
      </c>
      <c r="U44" s="33"/>
      <c r="V44" s="33"/>
      <c r="W44" s="82">
        <f t="shared" si="9"/>
        <v>0</v>
      </c>
      <c r="X44" s="190"/>
    </row>
    <row r="45" spans="2:24" ht="16.5" thickTop="1" thickBot="1">
      <c r="B45" s="189"/>
      <c r="C45" s="77">
        <f>'2018'!G42</f>
        <v>43269.8125</v>
      </c>
      <c r="D45" s="80" t="str">
        <f>'2018'!H42</f>
        <v>Mon</v>
      </c>
      <c r="E45" s="78" t="s">
        <v>232</v>
      </c>
      <c r="F45" s="79" t="str">
        <f>'2018'!I42</f>
        <v>Belgium</v>
      </c>
      <c r="G45" s="79" t="str">
        <f>'2018'!J42</f>
        <v>Panama</v>
      </c>
      <c r="H45" s="191" t="str">
        <f>IF('2018'!K42="","",'2018'!K42)</f>
        <v/>
      </c>
      <c r="I45" s="191" t="str">
        <f>IF('2018'!L42="","",'2018'!L42)</f>
        <v/>
      </c>
      <c r="J45" s="62" t="str">
        <f t="shared" si="6"/>
        <v>18/06/18</v>
      </c>
      <c r="K45" s="62">
        <f>IF(OR(H45="",I45=""),3,IF('2018'!K42&gt;'2018'!L42,1,IF('2018'!L42&gt;'2018'!K42,2,IF(OR(H45="",I45=""),3,0))))</f>
        <v>3</v>
      </c>
      <c r="L45" s="62">
        <f t="shared" ref="L45:L61" si="10">IF(O45&gt;P45,1,IF(P45&gt;O45,2,0))</f>
        <v>0</v>
      </c>
      <c r="M45" s="62">
        <f t="shared" ref="M45:M61" si="11">IF(R45&gt;S45,1,IF(S45&gt;R45,2,0))</f>
        <v>0</v>
      </c>
      <c r="N45" s="62">
        <f t="shared" ref="N45:N61" si="12">IF(U45&gt;V45,1,IF(V45&gt;U45,2,0))</f>
        <v>0</v>
      </c>
      <c r="O45" s="33"/>
      <c r="P45" s="33"/>
      <c r="Q45" s="82">
        <f t="shared" si="7"/>
        <v>0</v>
      </c>
      <c r="R45" s="33"/>
      <c r="S45" s="33"/>
      <c r="T45" s="82">
        <f t="shared" si="8"/>
        <v>0</v>
      </c>
      <c r="U45" s="33"/>
      <c r="V45" s="33"/>
      <c r="W45" s="82">
        <f t="shared" si="9"/>
        <v>0</v>
      </c>
      <c r="X45" s="190"/>
    </row>
    <row r="46" spans="2:24" ht="16.5" thickTop="1" thickBot="1">
      <c r="B46" s="189"/>
      <c r="C46" s="77">
        <f>'2018'!G43</f>
        <v>43269.9375</v>
      </c>
      <c r="D46" s="80" t="str">
        <f>'2018'!H43</f>
        <v>Mon</v>
      </c>
      <c r="E46" s="78" t="s">
        <v>232</v>
      </c>
      <c r="F46" s="79" t="str">
        <f>'2018'!I43</f>
        <v>Tunisia</v>
      </c>
      <c r="G46" s="79" t="str">
        <f>'2018'!J43</f>
        <v>England</v>
      </c>
      <c r="H46" s="191" t="str">
        <f>IF('2018'!K43="","",'2018'!K43)</f>
        <v/>
      </c>
      <c r="I46" s="191" t="str">
        <f>IF('2018'!L43="","",'2018'!L43)</f>
        <v/>
      </c>
      <c r="J46" s="62" t="str">
        <f t="shared" si="6"/>
        <v>18/06/18</v>
      </c>
      <c r="K46" s="62">
        <f>IF(OR(H46="",I46=""),3,IF('2018'!K43&gt;'2018'!L43,1,IF('2018'!L43&gt;'2018'!K43,2,IF(OR(H46="",I46=""),3,0))))</f>
        <v>3</v>
      </c>
      <c r="L46" s="62">
        <f t="shared" si="10"/>
        <v>0</v>
      </c>
      <c r="M46" s="62">
        <f t="shared" si="11"/>
        <v>0</v>
      </c>
      <c r="N46" s="62">
        <f t="shared" si="12"/>
        <v>0</v>
      </c>
      <c r="O46" s="33"/>
      <c r="P46" s="33"/>
      <c r="Q46" s="82">
        <f t="shared" si="7"/>
        <v>0</v>
      </c>
      <c r="R46" s="33"/>
      <c r="S46" s="33"/>
      <c r="T46" s="82">
        <f t="shared" si="8"/>
        <v>0</v>
      </c>
      <c r="U46" s="33"/>
      <c r="V46" s="33"/>
      <c r="W46" s="82">
        <f t="shared" si="9"/>
        <v>0</v>
      </c>
      <c r="X46" s="190"/>
    </row>
    <row r="47" spans="2:24" ht="16.5" thickTop="1" thickBot="1">
      <c r="B47" s="189"/>
      <c r="C47" s="77">
        <f>'2018'!G44</f>
        <v>43274.6875</v>
      </c>
      <c r="D47" s="80" t="str">
        <f>'2018'!H44</f>
        <v>Sat</v>
      </c>
      <c r="E47" s="78" t="s">
        <v>232</v>
      </c>
      <c r="F47" s="79" t="str">
        <f>'2018'!I44</f>
        <v>Belgium</v>
      </c>
      <c r="G47" s="79" t="str">
        <f>'2018'!J44</f>
        <v>Tunisia</v>
      </c>
      <c r="H47" s="191" t="str">
        <f>IF('2018'!K44="","",'2018'!K44)</f>
        <v/>
      </c>
      <c r="I47" s="191" t="str">
        <f>IF('2018'!L44="","",'2018'!L44)</f>
        <v/>
      </c>
      <c r="J47" s="62" t="str">
        <f t="shared" si="6"/>
        <v>23/06/18</v>
      </c>
      <c r="K47" s="62">
        <f>IF(OR(H47="",I47=""),3,IF('2018'!K44&gt;'2018'!L44,1,IF('2018'!L44&gt;'2018'!K44,2,IF(OR(H47="",I47=""),3,0))))</f>
        <v>3</v>
      </c>
      <c r="L47" s="62">
        <f t="shared" si="10"/>
        <v>0</v>
      </c>
      <c r="M47" s="62">
        <f t="shared" si="11"/>
        <v>0</v>
      </c>
      <c r="N47" s="62">
        <f t="shared" si="12"/>
        <v>0</v>
      </c>
      <c r="O47" s="33"/>
      <c r="P47" s="33"/>
      <c r="Q47" s="82">
        <f t="shared" si="7"/>
        <v>0</v>
      </c>
      <c r="R47" s="33"/>
      <c r="S47" s="33"/>
      <c r="T47" s="82">
        <f t="shared" si="8"/>
        <v>0</v>
      </c>
      <c r="U47" s="33"/>
      <c r="V47" s="33"/>
      <c r="W47" s="82">
        <f t="shared" si="9"/>
        <v>0</v>
      </c>
      <c r="X47" s="190"/>
    </row>
    <row r="48" spans="2:24" ht="16.5" thickTop="1" thickBot="1">
      <c r="B48" s="189"/>
      <c r="C48" s="77">
        <f>'2018'!G45</f>
        <v>43275.6875</v>
      </c>
      <c r="D48" s="80" t="str">
        <f>'2018'!H45</f>
        <v>Sun</v>
      </c>
      <c r="E48" s="78" t="s">
        <v>232</v>
      </c>
      <c r="F48" s="79" t="str">
        <f>'2018'!I45</f>
        <v>Panama</v>
      </c>
      <c r="G48" s="79" t="str">
        <f>'2018'!J45</f>
        <v>England</v>
      </c>
      <c r="H48" s="191" t="str">
        <f>IF('2018'!K45="","",'2018'!K45)</f>
        <v/>
      </c>
      <c r="I48" s="191" t="str">
        <f>IF('2018'!L45="","",'2018'!L45)</f>
        <v/>
      </c>
      <c r="J48" s="62" t="str">
        <f t="shared" si="6"/>
        <v>24/06/18</v>
      </c>
      <c r="K48" s="62">
        <f>IF(OR(H48="",I48=""),3,IF('2018'!K45&gt;'2018'!L45,1,IF('2018'!L45&gt;'2018'!K45,2,IF(OR(H48="",I48=""),3,0))))</f>
        <v>3</v>
      </c>
      <c r="L48" s="62">
        <f t="shared" si="10"/>
        <v>0</v>
      </c>
      <c r="M48" s="62">
        <f t="shared" si="11"/>
        <v>0</v>
      </c>
      <c r="N48" s="62">
        <f t="shared" si="12"/>
        <v>0</v>
      </c>
      <c r="O48" s="33"/>
      <c r="P48" s="33"/>
      <c r="Q48" s="82">
        <f t="shared" si="7"/>
        <v>0</v>
      </c>
      <c r="R48" s="33"/>
      <c r="S48" s="33"/>
      <c r="T48" s="82">
        <f t="shared" si="8"/>
        <v>0</v>
      </c>
      <c r="U48" s="33"/>
      <c r="V48" s="33"/>
      <c r="W48" s="82">
        <f t="shared" si="9"/>
        <v>0</v>
      </c>
      <c r="X48" s="190"/>
    </row>
    <row r="49" spans="2:24" ht="16.5" thickTop="1" thickBot="1">
      <c r="B49" s="189"/>
      <c r="C49" s="77">
        <f>'2018'!G46</f>
        <v>43279.9375</v>
      </c>
      <c r="D49" s="80" t="str">
        <f>'2018'!H46</f>
        <v>Thu</v>
      </c>
      <c r="E49" s="78" t="s">
        <v>232</v>
      </c>
      <c r="F49" s="79" t="str">
        <f>'2018'!I46</f>
        <v>Panama</v>
      </c>
      <c r="G49" s="79" t="str">
        <f>'2018'!J46</f>
        <v>Tunisia</v>
      </c>
      <c r="H49" s="191" t="str">
        <f>IF('2018'!K46="","",'2018'!K46)</f>
        <v/>
      </c>
      <c r="I49" s="191" t="str">
        <f>IF('2018'!L46="","",'2018'!L46)</f>
        <v/>
      </c>
      <c r="J49" s="62" t="str">
        <f t="shared" si="6"/>
        <v>28/06/18</v>
      </c>
      <c r="K49" s="62">
        <f>IF(OR(H49="",I49=""),3,IF('2018'!K46&gt;'2018'!L46,1,IF('2018'!L46&gt;'2018'!K46,2,IF(OR(H49="",I49=""),3,0))))</f>
        <v>3</v>
      </c>
      <c r="L49" s="62">
        <f t="shared" si="10"/>
        <v>0</v>
      </c>
      <c r="M49" s="62">
        <f t="shared" si="11"/>
        <v>0</v>
      </c>
      <c r="N49" s="62">
        <f t="shared" si="12"/>
        <v>0</v>
      </c>
      <c r="O49" s="33"/>
      <c r="P49" s="33"/>
      <c r="Q49" s="82">
        <f t="shared" si="7"/>
        <v>0</v>
      </c>
      <c r="R49" s="33"/>
      <c r="S49" s="33"/>
      <c r="T49" s="82">
        <f t="shared" si="8"/>
        <v>0</v>
      </c>
      <c r="U49" s="33"/>
      <c r="V49" s="33"/>
      <c r="W49" s="82">
        <f t="shared" si="9"/>
        <v>0</v>
      </c>
      <c r="X49" s="190"/>
    </row>
    <row r="50" spans="2:24" ht="16.5" thickTop="1" thickBot="1">
      <c r="B50" s="189"/>
      <c r="C50" s="77">
        <f>'2018'!G47</f>
        <v>43279.9375</v>
      </c>
      <c r="D50" s="80" t="str">
        <f>'2018'!H47</f>
        <v>Thu</v>
      </c>
      <c r="E50" s="78" t="s">
        <v>232</v>
      </c>
      <c r="F50" s="79" t="str">
        <f>'2018'!I47</f>
        <v>England</v>
      </c>
      <c r="G50" s="79" t="str">
        <f>'2018'!J47</f>
        <v>Belgium</v>
      </c>
      <c r="H50" s="191" t="str">
        <f>IF('2018'!K47="","",'2018'!K47)</f>
        <v/>
      </c>
      <c r="I50" s="191" t="str">
        <f>IF('2018'!L47="","",'2018'!L47)</f>
        <v/>
      </c>
      <c r="J50" s="62" t="str">
        <f t="shared" si="6"/>
        <v>28/06/18</v>
      </c>
      <c r="K50" s="62">
        <f>IF(OR(H50="",I50=""),3,IF('2018'!K47&gt;'2018'!L47,1,IF('2018'!L47&gt;'2018'!K47,2,IF(OR(H50="",I50=""),3,0))))</f>
        <v>3</v>
      </c>
      <c r="L50" s="62">
        <f t="shared" si="10"/>
        <v>0</v>
      </c>
      <c r="M50" s="62">
        <f t="shared" si="11"/>
        <v>0</v>
      </c>
      <c r="N50" s="62">
        <f t="shared" si="12"/>
        <v>0</v>
      </c>
      <c r="O50" s="33"/>
      <c r="P50" s="33"/>
      <c r="Q50" s="82">
        <f t="shared" si="7"/>
        <v>0</v>
      </c>
      <c r="R50" s="33"/>
      <c r="S50" s="33"/>
      <c r="T50" s="82">
        <f t="shared" si="8"/>
        <v>0</v>
      </c>
      <c r="U50" s="33"/>
      <c r="V50" s="33"/>
      <c r="W50" s="82">
        <f t="shared" si="9"/>
        <v>0</v>
      </c>
      <c r="X50" s="190"/>
    </row>
    <row r="51" spans="2:24" ht="16.5" thickTop="1" thickBot="1">
      <c r="B51" s="189"/>
      <c r="C51" s="77">
        <f>'2018'!G48</f>
        <v>43270.6875</v>
      </c>
      <c r="D51" s="80" t="str">
        <f>'2018'!H48</f>
        <v>Tue</v>
      </c>
      <c r="E51" s="78" t="s">
        <v>233</v>
      </c>
      <c r="F51" s="79" t="str">
        <f>'2018'!I48</f>
        <v>Colombia</v>
      </c>
      <c r="G51" s="79" t="str">
        <f>'2018'!J48</f>
        <v>Japan</v>
      </c>
      <c r="H51" s="191" t="str">
        <f>IF('2018'!K48="","",'2018'!K48)</f>
        <v/>
      </c>
      <c r="I51" s="191" t="str">
        <f>IF('2018'!L48="","",'2018'!L48)</f>
        <v/>
      </c>
      <c r="J51" s="62" t="str">
        <f t="shared" si="6"/>
        <v>19/06/18</v>
      </c>
      <c r="K51" s="62">
        <f>IF(OR(H51="",I51=""),3,IF('2018'!K48&gt;'2018'!L48,1,IF('2018'!L48&gt;'2018'!K48,2,IF(OR(H51="",I51=""),3,0))))</f>
        <v>3</v>
      </c>
      <c r="L51" s="62">
        <f t="shared" si="10"/>
        <v>0</v>
      </c>
      <c r="M51" s="62">
        <f t="shared" si="11"/>
        <v>0</v>
      </c>
      <c r="N51" s="62">
        <f t="shared" si="12"/>
        <v>0</v>
      </c>
      <c r="O51" s="33"/>
      <c r="P51" s="33"/>
      <c r="Q51" s="82">
        <f t="shared" si="7"/>
        <v>0</v>
      </c>
      <c r="R51" s="33"/>
      <c r="S51" s="33"/>
      <c r="T51" s="82">
        <f t="shared" si="8"/>
        <v>0</v>
      </c>
      <c r="U51" s="33"/>
      <c r="V51" s="33"/>
      <c r="W51" s="82">
        <f t="shared" si="9"/>
        <v>0</v>
      </c>
      <c r="X51" s="190"/>
    </row>
    <row r="52" spans="2:24" ht="16.5" thickTop="1" thickBot="1">
      <c r="B52" s="189"/>
      <c r="C52" s="77">
        <f>'2018'!G49</f>
        <v>43270.8125</v>
      </c>
      <c r="D52" s="80" t="str">
        <f>'2018'!H49</f>
        <v>Tue</v>
      </c>
      <c r="E52" s="78" t="s">
        <v>233</v>
      </c>
      <c r="F52" s="79" t="str">
        <f>'2018'!I49</f>
        <v>Poland</v>
      </c>
      <c r="G52" s="79" t="str">
        <f>'2018'!J49</f>
        <v>Senegal</v>
      </c>
      <c r="H52" s="191" t="str">
        <f>IF('2018'!K49="","",'2018'!K49)</f>
        <v/>
      </c>
      <c r="I52" s="191" t="str">
        <f>IF('2018'!L49="","",'2018'!L49)</f>
        <v/>
      </c>
      <c r="J52" s="62" t="str">
        <f t="shared" si="6"/>
        <v>19/06/18</v>
      </c>
      <c r="K52" s="62">
        <f>IF(OR(H52="",I52=""),3,IF('2018'!K49&gt;'2018'!L49,1,IF('2018'!L49&gt;'2018'!K49,2,IF(OR(H52="",I52=""),3,0))))</f>
        <v>3</v>
      </c>
      <c r="L52" s="62">
        <f t="shared" si="10"/>
        <v>0</v>
      </c>
      <c r="M52" s="62">
        <f t="shared" si="11"/>
        <v>0</v>
      </c>
      <c r="N52" s="62">
        <f t="shared" si="12"/>
        <v>0</v>
      </c>
      <c r="O52" s="33"/>
      <c r="P52" s="33"/>
      <c r="Q52" s="82">
        <f t="shared" si="7"/>
        <v>0</v>
      </c>
      <c r="R52" s="33"/>
      <c r="S52" s="33"/>
      <c r="T52" s="82">
        <f t="shared" si="8"/>
        <v>0</v>
      </c>
      <c r="U52" s="33"/>
      <c r="V52" s="33"/>
      <c r="W52" s="82">
        <f t="shared" si="9"/>
        <v>0</v>
      </c>
      <c r="X52" s="190"/>
    </row>
    <row r="53" spans="2:24" ht="16.5" thickTop="1" thickBot="1">
      <c r="B53" s="189"/>
      <c r="C53" s="77">
        <f>'2018'!G50</f>
        <v>43275.8125</v>
      </c>
      <c r="D53" s="80" t="str">
        <f>'2018'!H50</f>
        <v>Sun</v>
      </c>
      <c r="E53" s="78" t="s">
        <v>233</v>
      </c>
      <c r="F53" s="79" t="str">
        <f>'2018'!I50</f>
        <v>Japan</v>
      </c>
      <c r="G53" s="79" t="str">
        <f>'2018'!J50</f>
        <v>Senegal</v>
      </c>
      <c r="H53" s="191" t="str">
        <f>IF('2018'!K50="","",'2018'!K50)</f>
        <v/>
      </c>
      <c r="I53" s="191" t="str">
        <f>IF('2018'!L50="","",'2018'!L50)</f>
        <v/>
      </c>
      <c r="J53" s="62" t="str">
        <f t="shared" si="6"/>
        <v>24/06/18</v>
      </c>
      <c r="K53" s="62">
        <f>IF(OR(H53="",I53=""),3,IF('2018'!K50&gt;'2018'!L50,1,IF('2018'!L50&gt;'2018'!K50,2,IF(OR(H53="",I53=""),3,0))))</f>
        <v>3</v>
      </c>
      <c r="L53" s="62">
        <f t="shared" si="10"/>
        <v>0</v>
      </c>
      <c r="M53" s="62">
        <f t="shared" si="11"/>
        <v>0</v>
      </c>
      <c r="N53" s="62">
        <f t="shared" si="12"/>
        <v>0</v>
      </c>
      <c r="O53" s="33"/>
      <c r="P53" s="33"/>
      <c r="Q53" s="82">
        <f t="shared" si="7"/>
        <v>0</v>
      </c>
      <c r="R53" s="33"/>
      <c r="S53" s="33"/>
      <c r="T53" s="82">
        <f t="shared" si="8"/>
        <v>0</v>
      </c>
      <c r="U53" s="33"/>
      <c r="V53" s="33"/>
      <c r="W53" s="82">
        <f t="shared" si="9"/>
        <v>0</v>
      </c>
      <c r="X53" s="190"/>
    </row>
    <row r="54" spans="2:24" ht="16.5" thickTop="1" thickBot="1">
      <c r="B54" s="189"/>
      <c r="C54" s="77">
        <f>'2018'!G51</f>
        <v>43275.9375</v>
      </c>
      <c r="D54" s="80" t="str">
        <f>'2018'!H51</f>
        <v>Sun</v>
      </c>
      <c r="E54" s="78" t="s">
        <v>233</v>
      </c>
      <c r="F54" s="79" t="str">
        <f>'2018'!I51</f>
        <v>Poland</v>
      </c>
      <c r="G54" s="79" t="str">
        <f>'2018'!J51</f>
        <v>Colombia</v>
      </c>
      <c r="H54" s="191" t="str">
        <f>IF('2018'!K51="","",'2018'!K51)</f>
        <v/>
      </c>
      <c r="I54" s="191" t="str">
        <f>IF('2018'!L51="","",'2018'!L51)</f>
        <v/>
      </c>
      <c r="J54" s="62" t="str">
        <f t="shared" si="6"/>
        <v>24/06/18</v>
      </c>
      <c r="K54" s="62">
        <f>IF(OR(H54="",I54=""),3,IF('2018'!K51&gt;'2018'!L51,1,IF('2018'!L51&gt;'2018'!K51,2,IF(OR(H54="",I54=""),3,0))))</f>
        <v>3</v>
      </c>
      <c r="L54" s="62">
        <f t="shared" si="10"/>
        <v>0</v>
      </c>
      <c r="M54" s="62">
        <f t="shared" si="11"/>
        <v>0</v>
      </c>
      <c r="N54" s="62">
        <f t="shared" si="12"/>
        <v>0</v>
      </c>
      <c r="O54" s="33"/>
      <c r="P54" s="33"/>
      <c r="Q54" s="82">
        <f t="shared" si="7"/>
        <v>0</v>
      </c>
      <c r="R54" s="33"/>
      <c r="S54" s="33"/>
      <c r="T54" s="82">
        <f t="shared" si="8"/>
        <v>0</v>
      </c>
      <c r="U54" s="33"/>
      <c r="V54" s="33"/>
      <c r="W54" s="82">
        <f t="shared" si="9"/>
        <v>0</v>
      </c>
      <c r="X54" s="190"/>
    </row>
    <row r="55" spans="2:24" ht="16.5" thickTop="1" thickBot="1">
      <c r="B55" s="189"/>
      <c r="C55" s="77">
        <f>'2018'!G52</f>
        <v>43279.770833333336</v>
      </c>
      <c r="D55" s="80" t="str">
        <f>'2018'!H52</f>
        <v>Thu</v>
      </c>
      <c r="E55" s="78" t="s">
        <v>233</v>
      </c>
      <c r="F55" s="79" t="str">
        <f>'2018'!I52</f>
        <v>Japan</v>
      </c>
      <c r="G55" s="79" t="str">
        <f>'2018'!J52</f>
        <v>Poland</v>
      </c>
      <c r="H55" s="191" t="str">
        <f>IF('2018'!K52="","",'2018'!K52)</f>
        <v/>
      </c>
      <c r="I55" s="191" t="str">
        <f>IF('2018'!L52="","",'2018'!L52)</f>
        <v/>
      </c>
      <c r="J55" s="62" t="str">
        <f t="shared" si="6"/>
        <v>28/06/18</v>
      </c>
      <c r="K55" s="62">
        <f>IF(OR(H55="",I55=""),3,IF('2018'!K52&gt;'2018'!L52,1,IF('2018'!L52&gt;'2018'!K52,2,IF(OR(H55="",I55=""),3,0))))</f>
        <v>3</v>
      </c>
      <c r="L55" s="62">
        <f t="shared" si="10"/>
        <v>0</v>
      </c>
      <c r="M55" s="62">
        <f t="shared" si="11"/>
        <v>0</v>
      </c>
      <c r="N55" s="62">
        <f t="shared" si="12"/>
        <v>0</v>
      </c>
      <c r="O55" s="33"/>
      <c r="P55" s="33"/>
      <c r="Q55" s="82">
        <f t="shared" si="7"/>
        <v>0</v>
      </c>
      <c r="R55" s="33"/>
      <c r="S55" s="33"/>
      <c r="T55" s="82">
        <f t="shared" si="8"/>
        <v>0</v>
      </c>
      <c r="U55" s="33"/>
      <c r="V55" s="33"/>
      <c r="W55" s="82">
        <f t="shared" si="9"/>
        <v>0</v>
      </c>
      <c r="X55" s="190"/>
    </row>
    <row r="56" spans="2:24" ht="16.5" thickTop="1" thickBot="1">
      <c r="B56" s="189"/>
      <c r="C56" s="77">
        <f>'2018'!G53</f>
        <v>43279.770833333336</v>
      </c>
      <c r="D56" s="80" t="str">
        <f>'2018'!H53</f>
        <v>Thu</v>
      </c>
      <c r="E56" s="78" t="s">
        <v>233</v>
      </c>
      <c r="F56" s="79" t="str">
        <f>'2018'!I53</f>
        <v>Senegal</v>
      </c>
      <c r="G56" s="79" t="str">
        <f>'2018'!J53</f>
        <v>Colombia</v>
      </c>
      <c r="H56" s="191" t="str">
        <f>IF('2018'!K53="","",'2018'!K53)</f>
        <v/>
      </c>
      <c r="I56" s="191" t="str">
        <f>IF('2018'!L53="","",'2018'!L53)</f>
        <v/>
      </c>
      <c r="J56" s="62" t="str">
        <f t="shared" si="6"/>
        <v>28/06/18</v>
      </c>
      <c r="K56" s="62">
        <f>IF(OR(H56="",I56=""),3,IF('2018'!K53&gt;'2018'!L53,1,IF('2018'!L53&gt;'2018'!K53,2,IF(OR(H56="",I56=""),3,0))))</f>
        <v>3</v>
      </c>
      <c r="L56" s="62">
        <f t="shared" si="10"/>
        <v>0</v>
      </c>
      <c r="M56" s="62">
        <f t="shared" si="11"/>
        <v>0</v>
      </c>
      <c r="N56" s="62">
        <f t="shared" si="12"/>
        <v>0</v>
      </c>
      <c r="O56" s="33"/>
      <c r="P56" s="33"/>
      <c r="Q56" s="82">
        <f t="shared" si="7"/>
        <v>0</v>
      </c>
      <c r="R56" s="33"/>
      <c r="S56" s="33"/>
      <c r="T56" s="82">
        <f t="shared" si="8"/>
        <v>0</v>
      </c>
      <c r="U56" s="33"/>
      <c r="V56" s="33"/>
      <c r="W56" s="82">
        <f t="shared" si="9"/>
        <v>0</v>
      </c>
      <c r="X56" s="190"/>
    </row>
    <row r="57" spans="2:24" ht="16.5" thickTop="1" thickBot="1">
      <c r="B57" s="189"/>
      <c r="C57" s="77">
        <f>'2018'!G55</f>
        <v>43281.770833333336</v>
      </c>
      <c r="D57" s="80" t="str">
        <f>'2018'!H55</f>
        <v>Sat</v>
      </c>
      <c r="E57" s="81" t="s">
        <v>254</v>
      </c>
      <c r="F57" s="79" t="str">
        <f>'2018'!I55</f>
        <v>Peru</v>
      </c>
      <c r="G57" s="79" t="str">
        <f>'2018'!J55</f>
        <v>Nigeria</v>
      </c>
      <c r="H57" s="191" t="str">
        <f>IF('2018'!K55="","",'2018'!K55)</f>
        <v/>
      </c>
      <c r="I57" s="191" t="str">
        <f>IF('2018'!L55="","",'2018'!L55)</f>
        <v/>
      </c>
      <c r="J57" s="62" t="str">
        <f t="shared" si="6"/>
        <v>30/06/18</v>
      </c>
      <c r="K57" s="62">
        <f>IF(OR(H57="",I57=""),3,IF('2018'!K55&gt;'2018'!L55,1,IF('2018'!L55&gt;'2018'!K55,2,IF(OR(H57="",I57=""),3,0))))</f>
        <v>3</v>
      </c>
      <c r="L57" s="62">
        <f t="shared" si="10"/>
        <v>0</v>
      </c>
      <c r="M57" s="62">
        <f t="shared" si="11"/>
        <v>0</v>
      </c>
      <c r="N57" s="62">
        <f t="shared" si="12"/>
        <v>0</v>
      </c>
      <c r="O57" s="33"/>
      <c r="P57" s="33"/>
      <c r="Q57" s="82">
        <f t="shared" si="7"/>
        <v>0</v>
      </c>
      <c r="R57" s="33"/>
      <c r="S57" s="33"/>
      <c r="T57" s="82">
        <f t="shared" si="8"/>
        <v>0</v>
      </c>
      <c r="U57" s="33"/>
      <c r="V57" s="33"/>
      <c r="W57" s="82">
        <f t="shared" si="9"/>
        <v>0</v>
      </c>
      <c r="X57" s="190"/>
    </row>
    <row r="58" spans="2:24" ht="16.5" thickTop="1" thickBot="1">
      <c r="B58" s="189"/>
      <c r="C58" s="77">
        <f>'2018'!G56</f>
        <v>43281.9375</v>
      </c>
      <c r="D58" s="80" t="str">
        <f>'2018'!H56</f>
        <v>Sat</v>
      </c>
      <c r="E58" s="81" t="s">
        <v>254</v>
      </c>
      <c r="F58" s="79" t="str">
        <f>'2018'!I56</f>
        <v>Uruguay</v>
      </c>
      <c r="G58" s="79" t="str">
        <f>'2018'!J56</f>
        <v>Iran</v>
      </c>
      <c r="H58" s="191" t="str">
        <f>IF('2018'!K56="","",'2018'!K56)</f>
        <v/>
      </c>
      <c r="I58" s="191" t="str">
        <f>IF('2018'!L56="","",'2018'!L56)</f>
        <v/>
      </c>
      <c r="J58" s="62" t="str">
        <f t="shared" si="6"/>
        <v>30/06/18</v>
      </c>
      <c r="K58" s="62">
        <f>IF(OR(H58="",I58=""),3,IF('2018'!K56&gt;'2018'!L56,1,IF('2018'!L56&gt;'2018'!K56,2,IF(OR(H58="",I58=""),3,0))))</f>
        <v>3</v>
      </c>
      <c r="L58" s="62">
        <f t="shared" si="10"/>
        <v>0</v>
      </c>
      <c r="M58" s="62">
        <f t="shared" si="11"/>
        <v>0</v>
      </c>
      <c r="N58" s="62">
        <f t="shared" si="12"/>
        <v>0</v>
      </c>
      <c r="O58" s="33"/>
      <c r="P58" s="33"/>
      <c r="Q58" s="82">
        <f t="shared" si="7"/>
        <v>0</v>
      </c>
      <c r="R58" s="33"/>
      <c r="S58" s="33"/>
      <c r="T58" s="82">
        <f t="shared" si="8"/>
        <v>0</v>
      </c>
      <c r="U58" s="33"/>
      <c r="V58" s="33"/>
      <c r="W58" s="82">
        <f t="shared" si="9"/>
        <v>0</v>
      </c>
      <c r="X58" s="190"/>
    </row>
    <row r="59" spans="2:24" ht="16.5" thickTop="1" thickBot="1">
      <c r="B59" s="189"/>
      <c r="C59" s="77">
        <f>'2018'!G57</f>
        <v>43282.770833333336</v>
      </c>
      <c r="D59" s="80" t="str">
        <f>'2018'!H57</f>
        <v>Sun</v>
      </c>
      <c r="E59" s="81" t="s">
        <v>254</v>
      </c>
      <c r="F59" s="79" t="str">
        <f>'2018'!I57</f>
        <v>Morocco</v>
      </c>
      <c r="G59" s="79" t="str">
        <f>'2018'!J57</f>
        <v>Saudi Arabia</v>
      </c>
      <c r="H59" s="191" t="str">
        <f>IF('2018'!K57="","",'2018'!K57)</f>
        <v/>
      </c>
      <c r="I59" s="191" t="str">
        <f>IF('2018'!L57="","",'2018'!L57)</f>
        <v/>
      </c>
      <c r="J59" s="62" t="str">
        <f t="shared" si="6"/>
        <v>01/07/18</v>
      </c>
      <c r="K59" s="62">
        <f>IF(OR(H59="",I59=""),3,IF('2018'!K57&gt;'2018'!L57,1,IF('2018'!L57&gt;'2018'!K57,2,IF(OR(H59="",I59=""),3,0))))</f>
        <v>3</v>
      </c>
      <c r="L59" s="62">
        <f t="shared" si="10"/>
        <v>0</v>
      </c>
      <c r="M59" s="62">
        <f t="shared" si="11"/>
        <v>0</v>
      </c>
      <c r="N59" s="62">
        <f t="shared" si="12"/>
        <v>0</v>
      </c>
      <c r="O59" s="33"/>
      <c r="P59" s="33"/>
      <c r="Q59" s="82">
        <f t="shared" si="7"/>
        <v>0</v>
      </c>
      <c r="R59" s="33"/>
      <c r="S59" s="33"/>
      <c r="T59" s="82">
        <f t="shared" si="8"/>
        <v>0</v>
      </c>
      <c r="U59" s="33"/>
      <c r="V59" s="33"/>
      <c r="W59" s="82">
        <f t="shared" si="9"/>
        <v>0</v>
      </c>
      <c r="X59" s="190"/>
    </row>
    <row r="60" spans="2:24" ht="16.5" thickTop="1" thickBot="1">
      <c r="B60" s="189"/>
      <c r="C60" s="77">
        <f>'2018'!G58</f>
        <v>43282.9375</v>
      </c>
      <c r="D60" s="80" t="str">
        <f>'2018'!H58</f>
        <v>Sun</v>
      </c>
      <c r="E60" s="81" t="s">
        <v>254</v>
      </c>
      <c r="F60" s="79" t="str">
        <f>'2018'!I58</f>
        <v>Argentina</v>
      </c>
      <c r="G60" s="79" t="str">
        <f>'2018'!J58</f>
        <v>Denmark</v>
      </c>
      <c r="H60" s="191" t="str">
        <f>IF('2018'!K58="","",'2018'!K58)</f>
        <v/>
      </c>
      <c r="I60" s="191" t="str">
        <f>IF('2018'!L58="","",'2018'!L58)</f>
        <v/>
      </c>
      <c r="J60" s="62" t="str">
        <f t="shared" si="6"/>
        <v>01/07/18</v>
      </c>
      <c r="K60" s="62">
        <f>IF(OR(H60="",I60=""),3,IF('2018'!K58&gt;'2018'!L58,1,IF('2018'!L58&gt;'2018'!K58,2,IF(OR(H60="",I60=""),3,0))))</f>
        <v>3</v>
      </c>
      <c r="L60" s="62">
        <f t="shared" si="10"/>
        <v>0</v>
      </c>
      <c r="M60" s="62">
        <f t="shared" si="11"/>
        <v>0</v>
      </c>
      <c r="N60" s="62">
        <f t="shared" si="12"/>
        <v>0</v>
      </c>
      <c r="O60" s="33"/>
      <c r="P60" s="33"/>
      <c r="Q60" s="82">
        <f t="shared" si="7"/>
        <v>0</v>
      </c>
      <c r="R60" s="33"/>
      <c r="S60" s="33"/>
      <c r="T60" s="82">
        <f t="shared" si="8"/>
        <v>0</v>
      </c>
      <c r="U60" s="33"/>
      <c r="V60" s="33"/>
      <c r="W60" s="82">
        <f t="shared" si="9"/>
        <v>0</v>
      </c>
      <c r="X60" s="190"/>
    </row>
    <row r="61" spans="2:24" ht="16.5" thickTop="1" thickBot="1">
      <c r="B61" s="189"/>
      <c r="C61" s="77">
        <f>'2018'!G59</f>
        <v>43283.770833333336</v>
      </c>
      <c r="D61" s="80" t="str">
        <f>'2018'!H59</f>
        <v>Mon</v>
      </c>
      <c r="E61" s="81" t="s">
        <v>254</v>
      </c>
      <c r="F61" s="79" t="str">
        <f>'2018'!I59</f>
        <v>Brazil</v>
      </c>
      <c r="G61" s="79" t="str">
        <f>'2018'!J59</f>
        <v>Mexico</v>
      </c>
      <c r="H61" s="191" t="str">
        <f>IF('2018'!K59="","",'2018'!K59)</f>
        <v/>
      </c>
      <c r="I61" s="191" t="str">
        <f>IF('2018'!L59="","",'2018'!L59)</f>
        <v/>
      </c>
      <c r="J61" s="62" t="str">
        <f t="shared" si="6"/>
        <v>02/07/18</v>
      </c>
      <c r="K61" s="62">
        <f>IF(OR(H61="",I61=""),3,IF('2018'!K59&gt;'2018'!L59,1,IF('2018'!L59&gt;'2018'!K59,2,IF(OR(H61="",I61=""),3,0))))</f>
        <v>3</v>
      </c>
      <c r="L61" s="62">
        <f t="shared" si="10"/>
        <v>0</v>
      </c>
      <c r="M61" s="62">
        <f t="shared" si="11"/>
        <v>0</v>
      </c>
      <c r="N61" s="62">
        <f t="shared" si="12"/>
        <v>0</v>
      </c>
      <c r="O61" s="33"/>
      <c r="P61" s="33"/>
      <c r="Q61" s="82">
        <f t="shared" si="7"/>
        <v>0</v>
      </c>
      <c r="R61" s="33"/>
      <c r="S61" s="33"/>
      <c r="T61" s="82">
        <f t="shared" si="8"/>
        <v>0</v>
      </c>
      <c r="U61" s="33"/>
      <c r="V61" s="33"/>
      <c r="W61" s="82">
        <f t="shared" si="9"/>
        <v>0</v>
      </c>
      <c r="X61" s="190"/>
    </row>
    <row r="62" spans="2:24" ht="16.5" thickTop="1" thickBot="1">
      <c r="B62" s="189"/>
      <c r="C62" s="77">
        <f>'2018'!G60</f>
        <v>43283.9375</v>
      </c>
      <c r="D62" s="80" t="str">
        <f>'2018'!H60</f>
        <v>Mon</v>
      </c>
      <c r="E62" s="81" t="s">
        <v>254</v>
      </c>
      <c r="F62" s="79" t="str">
        <f>'2018'!I60</f>
        <v>Panama</v>
      </c>
      <c r="G62" s="79" t="str">
        <f>'2018'!J60</f>
        <v>Senegal</v>
      </c>
      <c r="H62" s="191" t="str">
        <f>IF('2018'!K60="","",'2018'!K60)</f>
        <v/>
      </c>
      <c r="I62" s="191" t="str">
        <f>IF('2018'!L60="","",'2018'!L60)</f>
        <v/>
      </c>
      <c r="J62" s="62" t="str">
        <f t="shared" si="6"/>
        <v>02/07/18</v>
      </c>
      <c r="K62" s="62">
        <f>IF(OR(H62="",I62=""),3,IF('2018'!K55&gt;'2018'!L55,1,IF('2018'!L55&gt;'2018'!K55,2,IF(OR(H62="",I62=""),3,0))))</f>
        <v>3</v>
      </c>
      <c r="L62" s="62">
        <f t="shared" ref="L62:L72" si="13">IF(O62&gt;P62,1,IF(P62&gt;O62,2,0))</f>
        <v>0</v>
      </c>
      <c r="M62" s="62">
        <f t="shared" ref="M62:M72" si="14">IF(R62&gt;S62,1,IF(S62&gt;R62,2,0))</f>
        <v>0</v>
      </c>
      <c r="N62" s="62">
        <f t="shared" ref="N62:N72" si="15">IF(U62&gt;V62,1,IF(V62&gt;U62,2,0))</f>
        <v>0</v>
      </c>
      <c r="O62" s="33"/>
      <c r="P62" s="33"/>
      <c r="Q62" s="82">
        <f t="shared" si="7"/>
        <v>0</v>
      </c>
      <c r="R62" s="33"/>
      <c r="S62" s="33"/>
      <c r="T62" s="82">
        <f t="shared" si="8"/>
        <v>0</v>
      </c>
      <c r="U62" s="33"/>
      <c r="V62" s="33"/>
      <c r="W62" s="82">
        <f t="shared" si="9"/>
        <v>0</v>
      </c>
      <c r="X62" s="190"/>
    </row>
    <row r="63" spans="2:24" ht="16.5" thickTop="1" thickBot="1">
      <c r="B63" s="189"/>
      <c r="C63" s="77">
        <f>'2018'!G61</f>
        <v>43284.770833333336</v>
      </c>
      <c r="D63" s="80" t="str">
        <f>'2018'!H61</f>
        <v>Tue</v>
      </c>
      <c r="E63" s="81" t="s">
        <v>254</v>
      </c>
      <c r="F63" s="79" t="str">
        <f>'2018'!I61</f>
        <v>Germany</v>
      </c>
      <c r="G63" s="79" t="str">
        <f>'2018'!J61</f>
        <v>Serbia</v>
      </c>
      <c r="H63" s="191" t="str">
        <f>IF('2018'!K61="","",'2018'!K61)</f>
        <v/>
      </c>
      <c r="I63" s="191" t="str">
        <f>IF('2018'!L61="","",'2018'!L61)</f>
        <v/>
      </c>
      <c r="J63" s="62" t="str">
        <f t="shared" si="6"/>
        <v>03/07/18</v>
      </c>
      <c r="K63" s="62">
        <f>IF(OR(H63="",I63=""),3,IF('2018'!K56&gt;'2018'!L56,1,IF('2018'!L56&gt;'2018'!K56,2,IF(OR(H63="",I63=""),3,0))))</f>
        <v>3</v>
      </c>
      <c r="L63" s="62">
        <f t="shared" si="13"/>
        <v>0</v>
      </c>
      <c r="M63" s="62">
        <f t="shared" si="14"/>
        <v>0</v>
      </c>
      <c r="N63" s="62">
        <f t="shared" si="15"/>
        <v>0</v>
      </c>
      <c r="O63" s="33"/>
      <c r="P63" s="33"/>
      <c r="Q63" s="82">
        <f t="shared" si="7"/>
        <v>0</v>
      </c>
      <c r="R63" s="33"/>
      <c r="S63" s="33"/>
      <c r="T63" s="82">
        <f t="shared" si="8"/>
        <v>0</v>
      </c>
      <c r="U63" s="33"/>
      <c r="V63" s="33"/>
      <c r="W63" s="82">
        <f t="shared" si="9"/>
        <v>0</v>
      </c>
      <c r="X63" s="190"/>
    </row>
    <row r="64" spans="2:24" ht="16.5" thickTop="1" thickBot="1">
      <c r="B64" s="189"/>
      <c r="C64" s="77">
        <f>'2018'!G62</f>
        <v>43284.9375</v>
      </c>
      <c r="D64" s="80" t="str">
        <f>'2018'!H62</f>
        <v>Tue</v>
      </c>
      <c r="E64" s="81" t="s">
        <v>254</v>
      </c>
      <c r="F64" s="79" t="str">
        <f>'2018'!I62</f>
        <v>Japan</v>
      </c>
      <c r="G64" s="79" t="str">
        <f>'2018'!J62</f>
        <v>England</v>
      </c>
      <c r="H64" s="191" t="str">
        <f>IF('2018'!K62="","",'2018'!K62)</f>
        <v/>
      </c>
      <c r="I64" s="191" t="str">
        <f>IF('2018'!L62="","",'2018'!L62)</f>
        <v/>
      </c>
      <c r="J64" s="62" t="str">
        <f t="shared" si="6"/>
        <v>03/07/18</v>
      </c>
      <c r="K64" s="62">
        <f>IF(OR(H64="",I64=""),3,IF('2018'!K57&gt;'2018'!L57,1,IF('2018'!L57&gt;'2018'!K57,2,IF(OR(H64="",I64=""),3,0))))</f>
        <v>3</v>
      </c>
      <c r="L64" s="62">
        <f t="shared" si="13"/>
        <v>0</v>
      </c>
      <c r="M64" s="62">
        <f t="shared" si="14"/>
        <v>0</v>
      </c>
      <c r="N64" s="62">
        <f t="shared" si="15"/>
        <v>0</v>
      </c>
      <c r="O64" s="33"/>
      <c r="P64" s="33"/>
      <c r="Q64" s="82">
        <f t="shared" si="7"/>
        <v>0</v>
      </c>
      <c r="R64" s="33"/>
      <c r="S64" s="33"/>
      <c r="T64" s="82">
        <f t="shared" si="8"/>
        <v>0</v>
      </c>
      <c r="U64" s="33"/>
      <c r="V64" s="33"/>
      <c r="W64" s="82">
        <f t="shared" si="9"/>
        <v>0</v>
      </c>
      <c r="X64" s="190"/>
    </row>
    <row r="65" spans="2:24" ht="16.5" thickTop="1" thickBot="1">
      <c r="B65" s="189"/>
      <c r="C65" s="77">
        <f>'2018'!G64</f>
        <v>43287.770833333336</v>
      </c>
      <c r="D65" s="80" t="str">
        <f>'2018'!H64</f>
        <v>Fri</v>
      </c>
      <c r="E65" s="81" t="s">
        <v>254</v>
      </c>
      <c r="F65" s="79" t="str">
        <f>'2018'!I64</f>
        <v/>
      </c>
      <c r="G65" s="79" t="str">
        <f>'2018'!J64</f>
        <v/>
      </c>
      <c r="H65" s="191" t="str">
        <f>IF('2018'!K64="","",'2018'!K64)</f>
        <v/>
      </c>
      <c r="I65" s="191" t="str">
        <f>IF('2018'!L64="","",'2018'!L64)</f>
        <v/>
      </c>
      <c r="J65" s="62" t="str">
        <f t="shared" si="6"/>
        <v>06/07/18</v>
      </c>
      <c r="K65" s="62">
        <f>IF(OR(H65="",I65=""),3,IF('2018'!K59&gt;'2018'!L59,1,IF('2018'!L59&gt;'2018'!K59,2,IF(OR(H65="",I65=""),3,0))))</f>
        <v>3</v>
      </c>
      <c r="L65" s="62">
        <f t="shared" si="13"/>
        <v>0</v>
      </c>
      <c r="M65" s="62">
        <f t="shared" si="14"/>
        <v>0</v>
      </c>
      <c r="N65" s="62">
        <f t="shared" si="15"/>
        <v>0</v>
      </c>
      <c r="O65" s="33"/>
      <c r="P65" s="33"/>
      <c r="Q65" s="82">
        <f t="shared" si="7"/>
        <v>0</v>
      </c>
      <c r="R65" s="33"/>
      <c r="S65" s="33"/>
      <c r="T65" s="82">
        <f t="shared" si="8"/>
        <v>0</v>
      </c>
      <c r="U65" s="33"/>
      <c r="V65" s="33"/>
      <c r="W65" s="82">
        <f t="shared" si="9"/>
        <v>0</v>
      </c>
      <c r="X65" s="190"/>
    </row>
    <row r="66" spans="2:24" ht="16.5" thickTop="1" thickBot="1">
      <c r="B66" s="189"/>
      <c r="C66" s="77">
        <f>'2018'!G65</f>
        <v>43287.9375</v>
      </c>
      <c r="D66" s="80" t="str">
        <f>'2018'!H65</f>
        <v>Fri</v>
      </c>
      <c r="E66" s="81" t="s">
        <v>254</v>
      </c>
      <c r="F66" s="79" t="str">
        <f>'2018'!I65</f>
        <v/>
      </c>
      <c r="G66" s="79" t="str">
        <f>'2018'!J65</f>
        <v/>
      </c>
      <c r="H66" s="191" t="str">
        <f>IF('2018'!K65="","",'2018'!K65)</f>
        <v/>
      </c>
      <c r="I66" s="191" t="str">
        <f>IF('2018'!L65="","",'2018'!L65)</f>
        <v/>
      </c>
      <c r="J66" s="62" t="str">
        <f t="shared" si="6"/>
        <v>06/07/18</v>
      </c>
      <c r="K66" s="62">
        <f>IF(OR(H66="",I66=""),3,IF('2018'!K60&gt;'2018'!L60,1,IF('2018'!L60&gt;'2018'!K60,2,IF(OR(H66="",I66=""),3,0))))</f>
        <v>3</v>
      </c>
      <c r="L66" s="62">
        <f t="shared" si="13"/>
        <v>0</v>
      </c>
      <c r="M66" s="62">
        <f t="shared" si="14"/>
        <v>0</v>
      </c>
      <c r="N66" s="62">
        <f t="shared" si="15"/>
        <v>0</v>
      </c>
      <c r="O66" s="33"/>
      <c r="P66" s="33"/>
      <c r="Q66" s="82">
        <f t="shared" si="7"/>
        <v>0</v>
      </c>
      <c r="R66" s="33"/>
      <c r="S66" s="33"/>
      <c r="T66" s="82">
        <f t="shared" si="8"/>
        <v>0</v>
      </c>
      <c r="U66" s="33"/>
      <c r="V66" s="33"/>
      <c r="W66" s="82">
        <f t="shared" si="9"/>
        <v>0</v>
      </c>
      <c r="X66" s="190"/>
    </row>
    <row r="67" spans="2:24" ht="16.5" thickTop="1" thickBot="1">
      <c r="B67" s="189"/>
      <c r="C67" s="77">
        <f>'2018'!G66</f>
        <v>43288.770833333336</v>
      </c>
      <c r="D67" s="80" t="str">
        <f>'2018'!H66</f>
        <v>Sat</v>
      </c>
      <c r="E67" s="81" t="s">
        <v>254</v>
      </c>
      <c r="F67" s="79" t="str">
        <f>'2018'!I66</f>
        <v/>
      </c>
      <c r="G67" s="79" t="str">
        <f>'2018'!J66</f>
        <v/>
      </c>
      <c r="H67" s="191" t="str">
        <f>IF('2018'!K66="","",'2018'!K66)</f>
        <v/>
      </c>
      <c r="I67" s="191" t="str">
        <f>IF('2018'!L66="","",'2018'!L66)</f>
        <v/>
      </c>
      <c r="J67" s="62" t="str">
        <f t="shared" si="6"/>
        <v>07/07/18</v>
      </c>
      <c r="K67" s="62">
        <f>IF(OR(H67="",I67=""),3,IF('2018'!K61&gt;'2018'!L61,1,IF('2018'!L61&gt;'2018'!K61,2,IF(OR(H67="",I67=""),3,0))))</f>
        <v>3</v>
      </c>
      <c r="L67" s="62">
        <f t="shared" si="13"/>
        <v>0</v>
      </c>
      <c r="M67" s="62">
        <f t="shared" si="14"/>
        <v>0</v>
      </c>
      <c r="N67" s="62">
        <f t="shared" si="15"/>
        <v>0</v>
      </c>
      <c r="O67" s="33"/>
      <c r="P67" s="33"/>
      <c r="Q67" s="82">
        <f t="shared" si="7"/>
        <v>0</v>
      </c>
      <c r="R67" s="33"/>
      <c r="S67" s="33"/>
      <c r="T67" s="82">
        <f t="shared" si="8"/>
        <v>0</v>
      </c>
      <c r="U67" s="33"/>
      <c r="V67" s="33"/>
      <c r="W67" s="82">
        <f t="shared" si="9"/>
        <v>0</v>
      </c>
      <c r="X67" s="190"/>
    </row>
    <row r="68" spans="2:24" ht="16.5" thickTop="1" thickBot="1">
      <c r="B68" s="189"/>
      <c r="C68" s="77">
        <f>'2018'!G67</f>
        <v>43288.9375</v>
      </c>
      <c r="D68" s="80" t="str">
        <f>'2018'!H67</f>
        <v>Sat</v>
      </c>
      <c r="E68" s="81" t="s">
        <v>254</v>
      </c>
      <c r="F68" s="79" t="str">
        <f>'2018'!I67</f>
        <v/>
      </c>
      <c r="G68" s="79" t="str">
        <f>'2018'!J67</f>
        <v/>
      </c>
      <c r="H68" s="191" t="str">
        <f>IF('2018'!K67="","",'2018'!K67)</f>
        <v/>
      </c>
      <c r="I68" s="191" t="str">
        <f>IF('2018'!L67="","",'2018'!L67)</f>
        <v/>
      </c>
      <c r="J68" s="62" t="str">
        <f t="shared" si="6"/>
        <v>07/07/18</v>
      </c>
      <c r="K68" s="62">
        <f>IF(OR(H68="",I68=""),3,IF('2018'!K62&gt;'2018'!L62,1,IF('2018'!L62&gt;'2018'!K62,2,IF(OR(H68="",I68=""),3,0))))</f>
        <v>3</v>
      </c>
      <c r="L68" s="62">
        <f t="shared" si="13"/>
        <v>0</v>
      </c>
      <c r="M68" s="62">
        <f t="shared" si="14"/>
        <v>0</v>
      </c>
      <c r="N68" s="62">
        <f t="shared" si="15"/>
        <v>0</v>
      </c>
      <c r="O68" s="33"/>
      <c r="P68" s="33"/>
      <c r="Q68" s="82">
        <f t="shared" si="7"/>
        <v>0</v>
      </c>
      <c r="R68" s="33"/>
      <c r="S68" s="33"/>
      <c r="T68" s="82">
        <f t="shared" si="8"/>
        <v>0</v>
      </c>
      <c r="U68" s="33"/>
      <c r="V68" s="33"/>
      <c r="W68" s="82">
        <f t="shared" si="9"/>
        <v>0</v>
      </c>
      <c r="X68" s="190"/>
    </row>
    <row r="69" spans="2:24" ht="16.5" thickTop="1" thickBot="1">
      <c r="B69" s="189"/>
      <c r="C69" s="77">
        <f>'2018'!G69</f>
        <v>43291.9375</v>
      </c>
      <c r="D69" s="80" t="str">
        <f>'2018'!H69</f>
        <v>Tue</v>
      </c>
      <c r="E69" s="81" t="s">
        <v>254</v>
      </c>
      <c r="F69" s="79" t="str">
        <f>'2018'!I69</f>
        <v/>
      </c>
      <c r="G69" s="79" t="str">
        <f>'2018'!J69</f>
        <v/>
      </c>
      <c r="H69" s="191" t="str">
        <f>IF('2018'!K69="","",'2018'!K69)</f>
        <v/>
      </c>
      <c r="I69" s="191" t="str">
        <f>IF('2018'!L69="","",'2018'!L69)</f>
        <v/>
      </c>
      <c r="J69" s="62" t="str">
        <f t="shared" si="6"/>
        <v>10/07/18</v>
      </c>
      <c r="K69" s="62">
        <f>IF(OR(H69="",I69=""),3,IF('2018'!K65&gt;'2018'!L65,1,IF('2018'!L65&gt;'2018'!K65,2,IF(OR(H69="",I69=""),3,0))))</f>
        <v>3</v>
      </c>
      <c r="L69" s="62">
        <f t="shared" si="13"/>
        <v>0</v>
      </c>
      <c r="M69" s="62">
        <f t="shared" si="14"/>
        <v>0</v>
      </c>
      <c r="N69" s="62">
        <f t="shared" si="15"/>
        <v>0</v>
      </c>
      <c r="O69" s="33"/>
      <c r="P69" s="33"/>
      <c r="Q69" s="82">
        <f t="shared" si="7"/>
        <v>0</v>
      </c>
      <c r="R69" s="33"/>
      <c r="S69" s="33"/>
      <c r="T69" s="82">
        <f t="shared" si="8"/>
        <v>0</v>
      </c>
      <c r="U69" s="33"/>
      <c r="V69" s="33"/>
      <c r="W69" s="82">
        <f t="shared" si="9"/>
        <v>0</v>
      </c>
      <c r="X69" s="190"/>
    </row>
    <row r="70" spans="2:24" ht="16.5" thickTop="1" thickBot="1">
      <c r="B70" s="189"/>
      <c r="C70" s="77">
        <f>'2018'!G70</f>
        <v>43292.9375</v>
      </c>
      <c r="D70" s="80" t="str">
        <f>'2018'!H70</f>
        <v>Wed</v>
      </c>
      <c r="E70" s="81" t="s">
        <v>254</v>
      </c>
      <c r="F70" s="79" t="str">
        <f>'2018'!I70</f>
        <v/>
      </c>
      <c r="G70" s="79" t="str">
        <f>'2018'!J70</f>
        <v/>
      </c>
      <c r="H70" s="191" t="str">
        <f>IF('2018'!K70="","",'2018'!K70)</f>
        <v/>
      </c>
      <c r="I70" s="191" t="str">
        <f>IF('2018'!L70="","",'2018'!L70)</f>
        <v/>
      </c>
      <c r="J70" s="62" t="str">
        <f t="shared" si="6"/>
        <v>11/07/18</v>
      </c>
      <c r="K70" s="62">
        <f>IF(OR(H70="",I70=""),3,IF('2018'!K66&gt;'2018'!L66,1,IF('2018'!L66&gt;'2018'!K66,2,IF(OR(H70="",I70=""),3,0))))</f>
        <v>3</v>
      </c>
      <c r="L70" s="62">
        <f t="shared" si="13"/>
        <v>0</v>
      </c>
      <c r="M70" s="62">
        <f t="shared" si="14"/>
        <v>0</v>
      </c>
      <c r="N70" s="62">
        <f t="shared" si="15"/>
        <v>0</v>
      </c>
      <c r="O70" s="33"/>
      <c r="P70" s="33"/>
      <c r="Q70" s="82">
        <f t="shared" si="7"/>
        <v>0</v>
      </c>
      <c r="R70" s="33"/>
      <c r="S70" s="33"/>
      <c r="T70" s="82">
        <f t="shared" si="8"/>
        <v>0</v>
      </c>
      <c r="U70" s="33"/>
      <c r="V70" s="33"/>
      <c r="W70" s="82">
        <f t="shared" si="9"/>
        <v>0</v>
      </c>
      <c r="X70" s="190"/>
    </row>
    <row r="71" spans="2:24" ht="16.5" thickTop="1" thickBot="1">
      <c r="B71" s="189"/>
      <c r="C71" s="77">
        <f>'2018'!G72</f>
        <v>43295.8125</v>
      </c>
      <c r="D71" s="80" t="str">
        <f>'2018'!H72</f>
        <v>Sat</v>
      </c>
      <c r="E71" s="81" t="s">
        <v>254</v>
      </c>
      <c r="F71" s="79" t="str">
        <f>'2018'!I72</f>
        <v/>
      </c>
      <c r="G71" s="79" t="str">
        <f>'2018'!J72</f>
        <v/>
      </c>
      <c r="H71" s="191" t="str">
        <f>IF('2018'!K72="","",'2018'!K72)</f>
        <v/>
      </c>
      <c r="I71" s="191" t="str">
        <f>IF('2018'!L72="","",'2018'!L72)</f>
        <v/>
      </c>
      <c r="J71" s="62" t="str">
        <f t="shared" ref="J71:J72" si="16">TEXT(C71,"dd/mm/yy")</f>
        <v>14/07/18</v>
      </c>
      <c r="K71" s="62">
        <f>IF(OR(H71="",I71=""),3,IF('2018'!K69&gt;'2018'!L69,1,IF('2018'!L69&gt;'2018'!K69,2,IF(OR(H71="",I71=""),3,0))))</f>
        <v>3</v>
      </c>
      <c r="L71" s="62">
        <f t="shared" si="13"/>
        <v>0</v>
      </c>
      <c r="M71" s="62">
        <f t="shared" si="14"/>
        <v>0</v>
      </c>
      <c r="N71" s="62">
        <f t="shared" si="15"/>
        <v>0</v>
      </c>
      <c r="O71" s="33"/>
      <c r="P71" s="33"/>
      <c r="Q71" s="82">
        <f t="shared" si="7"/>
        <v>0</v>
      </c>
      <c r="R71" s="33"/>
      <c r="S71" s="33"/>
      <c r="T71" s="82">
        <f t="shared" si="8"/>
        <v>0</v>
      </c>
      <c r="U71" s="33"/>
      <c r="V71" s="33"/>
      <c r="W71" s="82">
        <f t="shared" si="9"/>
        <v>0</v>
      </c>
      <c r="X71" s="190"/>
    </row>
    <row r="72" spans="2:24" ht="16.5" thickTop="1" thickBot="1">
      <c r="B72" s="189"/>
      <c r="C72" s="77">
        <f>'2018'!G73</f>
        <v>43296.770833333336</v>
      </c>
      <c r="D72" s="80" t="str">
        <f>'2018'!H73</f>
        <v>Sun</v>
      </c>
      <c r="E72" s="81" t="s">
        <v>254</v>
      </c>
      <c r="F72" s="79" t="str">
        <f>'2018'!I73</f>
        <v/>
      </c>
      <c r="G72" s="79" t="str">
        <f>'2018'!J73</f>
        <v/>
      </c>
      <c r="H72" s="191" t="str">
        <f>IF('2018'!K73="","",'2018'!K73)</f>
        <v/>
      </c>
      <c r="I72" s="191" t="str">
        <f>IF('2018'!L73="","",'2018'!L73)</f>
        <v/>
      </c>
      <c r="J72" s="62" t="str">
        <f t="shared" si="16"/>
        <v>15/07/18</v>
      </c>
      <c r="K72" s="62">
        <f>IF(OR(H72="",I72=""),3,IF('2018'!K70&gt;'2018'!L70,1,IF('2018'!L70&gt;'2018'!K70,2,IF(OR(H72="",I72=""),3,0))))</f>
        <v>3</v>
      </c>
      <c r="L72" s="62">
        <f t="shared" si="13"/>
        <v>0</v>
      </c>
      <c r="M72" s="62">
        <f t="shared" si="14"/>
        <v>0</v>
      </c>
      <c r="N72" s="62">
        <f t="shared" si="15"/>
        <v>0</v>
      </c>
      <c r="O72" s="33"/>
      <c r="P72" s="33"/>
      <c r="Q72" s="82">
        <f t="shared" si="7"/>
        <v>0</v>
      </c>
      <c r="R72" s="33"/>
      <c r="S72" s="33"/>
      <c r="T72" s="82">
        <f t="shared" si="8"/>
        <v>0</v>
      </c>
      <c r="U72" s="33"/>
      <c r="V72" s="33"/>
      <c r="W72" s="82">
        <f t="shared" si="9"/>
        <v>0</v>
      </c>
      <c r="X72" s="190"/>
    </row>
    <row r="73" spans="2:24" ht="16.5" thickTop="1" thickBot="1">
      <c r="B73" s="192"/>
      <c r="C73" s="193"/>
      <c r="D73" s="193"/>
      <c r="E73" s="193"/>
      <c r="F73" s="193"/>
      <c r="G73" s="193"/>
      <c r="H73" s="193"/>
      <c r="I73" s="193"/>
      <c r="J73" s="193"/>
      <c r="K73" s="193"/>
      <c r="L73" s="193"/>
      <c r="M73" s="193"/>
      <c r="N73" s="193"/>
      <c r="O73" s="193"/>
      <c r="P73" s="193"/>
      <c r="Q73" s="193"/>
      <c r="R73" s="193"/>
      <c r="S73" s="193"/>
      <c r="T73" s="193"/>
      <c r="U73" s="193"/>
      <c r="V73" s="193"/>
      <c r="W73" s="193"/>
      <c r="X73" s="194"/>
    </row>
  </sheetData>
  <sheetProtection sheet="1" objects="1" scenarios="1" selectLockedCells="1"/>
  <autoFilter ref="C8:G72" xr:uid="{00000000-0009-0000-0000-000001000000}"/>
  <mergeCells count="5">
    <mergeCell ref="J7:N7"/>
    <mergeCell ref="H8:I8"/>
    <mergeCell ref="O8:Q8"/>
    <mergeCell ref="R8:T8"/>
    <mergeCell ref="U8:W8"/>
  </mergeCells>
  <conditionalFormatting sqref="H9:J72">
    <cfRule type="containsBlanks" dxfId="10" priority="279">
      <formula>LEN(TRIM(H9))=0</formula>
    </cfRule>
  </conditionalFormatting>
  <conditionalFormatting sqref="F9:F72">
    <cfRule type="expression" dxfId="9" priority="276">
      <formula>IF(H9&gt;I9,1,0)</formula>
    </cfRule>
  </conditionalFormatting>
  <conditionalFormatting sqref="G9:G72">
    <cfRule type="expression" dxfId="8" priority="275">
      <formula>IF(H9&lt;I9,1,0)</formula>
    </cfRule>
  </conditionalFormatting>
  <conditionalFormatting sqref="L8 N8:O8">
    <cfRule type="duplicateValues" dxfId="7" priority="379"/>
  </conditionalFormatting>
  <conditionalFormatting sqref="R8">
    <cfRule type="duplicateValues" dxfId="6" priority="167"/>
  </conditionalFormatting>
  <conditionalFormatting sqref="U8">
    <cfRule type="duplicateValues" dxfId="5" priority="166"/>
  </conditionalFormatting>
  <conditionalFormatting sqref="U9:V72 O9:S72">
    <cfRule type="containsBlanks" dxfId="4" priority="148">
      <formula>LEN(TRIM(O9))=0</formula>
    </cfRule>
  </conditionalFormatting>
  <conditionalFormatting sqref="Q9:Q72">
    <cfRule type="iconSet" priority="81">
      <iconSet iconSet="3Symbols2">
        <cfvo type="percent" val="0"/>
        <cfvo type="num" val="1"/>
        <cfvo type="num" val="2"/>
      </iconSet>
    </cfRule>
  </conditionalFormatting>
  <conditionalFormatting sqref="T9:T72">
    <cfRule type="containsBlanks" dxfId="3" priority="41">
      <formula>LEN(TRIM(T9))=0</formula>
    </cfRule>
  </conditionalFormatting>
  <conditionalFormatting sqref="T9:T72">
    <cfRule type="iconSet" priority="40">
      <iconSet iconSet="3Symbols2">
        <cfvo type="percent" val="0"/>
        <cfvo type="num" val="1"/>
        <cfvo type="num" val="2"/>
      </iconSet>
    </cfRule>
  </conditionalFormatting>
  <conditionalFormatting sqref="W9:W72">
    <cfRule type="containsBlanks" dxfId="2" priority="39">
      <formula>LEN(TRIM(W9))=0</formula>
    </cfRule>
  </conditionalFormatting>
  <conditionalFormatting sqref="W9:W72">
    <cfRule type="iconSet" priority="38">
      <iconSet iconSet="3Symbols2">
        <cfvo type="percent" val="0"/>
        <cfvo type="num" val="1"/>
        <cfvo type="num" val="2"/>
      </iconSet>
    </cfRule>
  </conditionalFormatting>
  <conditionalFormatting sqref="C3:C5">
    <cfRule type="expression" dxfId="1" priority="2">
      <formula>IF(G3=1,1,0)</formula>
    </cfRule>
  </conditionalFormatting>
  <conditionalFormatting sqref="D3:D5">
    <cfRule type="dataBar" priority="1">
      <dataBar>
        <cfvo type="min"/>
        <cfvo type="max"/>
        <color rgb="FF638EC6"/>
      </dataBar>
      <extLst>
        <ext xmlns:x14="http://schemas.microsoft.com/office/spreadsheetml/2009/9/main" uri="{B025F937-C7B1-47D3-B67F-A62EFF666E3E}">
          <x14:id>{E74FFB15-DA2D-474A-81FC-E4F5E13B7EAD}</x14:id>
        </ext>
      </extLst>
    </cfRule>
  </conditionalFormatting>
  <dataValidations count="1">
    <dataValidation type="whole" allowBlank="1" showInputMessage="1" showErrorMessage="1" sqref="H9:I72 K9:W72" xr:uid="{00000000-0002-0000-0100-000000000000}">
      <formula1>0</formula1>
      <formula2>9</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E74FFB15-DA2D-474A-81FC-E4F5E13B7EAD}">
            <x14:dataBar minLength="0" maxLength="100" border="1" negativeBarBorderColorSameAsPositive="0">
              <x14:cfvo type="autoMin"/>
              <x14:cfvo type="autoMax"/>
              <x14:borderColor rgb="FF638EC6"/>
              <x14:negativeFillColor rgb="FFFF0000"/>
              <x14:negativeBorderColor rgb="FFFF0000"/>
              <x14:axisColor rgb="FF000000"/>
            </x14:dataBar>
          </x14:cfRule>
          <xm:sqref>D3:D5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sheetPr>
  <dimension ref="A1:BR141"/>
  <sheetViews>
    <sheetView showGridLines="0" zoomScale="115" zoomScaleNormal="115" workbookViewId="0">
      <selection activeCell="P3" sqref="P3"/>
    </sheetView>
  </sheetViews>
  <sheetFormatPr defaultRowHeight="15"/>
  <cols>
    <col min="1" max="1" width="2.7109375" style="1" customWidth="1"/>
    <col min="2" max="2" width="5.28515625" style="12" bestFit="1" customWidth="1"/>
    <col min="3" max="3" width="18" style="42" bestFit="1" customWidth="1"/>
    <col min="4" max="4" width="2.7109375" style="1" customWidth="1"/>
    <col min="5" max="5" width="4.42578125" style="1" bestFit="1" customWidth="1"/>
    <col min="6" max="6" width="14.28515625" style="1" bestFit="1" customWidth="1"/>
    <col min="7" max="11" width="14.28515625" style="1" customWidth="1"/>
    <col min="12" max="12" width="9.7109375" style="1" bestFit="1" customWidth="1"/>
    <col min="13" max="13" width="2.7109375" style="1" customWidth="1"/>
    <col min="14" max="14" width="7.42578125" bestFit="1" customWidth="1"/>
    <col min="15" max="15" width="25.7109375" customWidth="1"/>
    <col min="17" max="17" width="9.140625" style="11"/>
    <col min="18" max="18" width="9.140625" style="1"/>
    <col min="19" max="20" width="9.140625" style="11"/>
    <col min="21" max="22" width="9.140625" style="1"/>
    <col min="23" max="23" width="5.7109375" style="46" customWidth="1"/>
    <col min="24" max="24" width="22.140625" style="1" customWidth="1"/>
    <col min="25" max="25" width="9.140625" style="11"/>
    <col min="26" max="16384" width="9.140625" style="1"/>
  </cols>
  <sheetData>
    <row r="1" spans="1:70">
      <c r="A1" s="11"/>
      <c r="B1" s="11"/>
      <c r="C1" s="11"/>
      <c r="D1" s="11"/>
      <c r="E1" s="11"/>
      <c r="F1" s="11"/>
      <c r="G1" s="67" t="str">
        <f>IFERROR(MATCH(city,G3:G141,0),"")</f>
        <v/>
      </c>
      <c r="H1" s="67" t="str">
        <f>IFERROR(MATCH(city,H3:H141,0),"")</f>
        <v/>
      </c>
      <c r="I1" s="67" t="str">
        <f>IFERROR(MATCH(city,I3:I141,0),"")</f>
        <v/>
      </c>
      <c r="J1" s="67" t="str">
        <f>IFERROR(MATCH(city,J3:J141,0),"")</f>
        <v/>
      </c>
      <c r="K1" s="67" t="str">
        <f>IFERROR(MATCH(city,K3:K141,0),"")</f>
        <v/>
      </c>
      <c r="L1" s="11"/>
    </row>
    <row r="2" spans="1:70" s="7" customFormat="1" ht="13.5" thickBot="1">
      <c r="E2" s="72" t="s">
        <v>4</v>
      </c>
      <c r="F2" s="72" t="s">
        <v>89</v>
      </c>
      <c r="G2" s="71" t="s">
        <v>255</v>
      </c>
      <c r="H2" s="71" t="s">
        <v>256</v>
      </c>
      <c r="I2" s="71" t="s">
        <v>257</v>
      </c>
      <c r="J2" s="71" t="s">
        <v>258</v>
      </c>
      <c r="K2" s="71" t="s">
        <v>259</v>
      </c>
      <c r="L2" s="72" t="s">
        <v>77</v>
      </c>
      <c r="N2" s="72" t="s">
        <v>226</v>
      </c>
      <c r="O2" s="72" t="s">
        <v>158</v>
      </c>
      <c r="P2" s="72" t="s">
        <v>170</v>
      </c>
      <c r="Q2" s="72" t="s">
        <v>174</v>
      </c>
      <c r="R2" s="72" t="s">
        <v>173</v>
      </c>
      <c r="S2" s="72" t="s">
        <v>175</v>
      </c>
      <c r="T2" s="72" t="s">
        <v>176</v>
      </c>
      <c r="U2" s="72" t="s">
        <v>168</v>
      </c>
      <c r="V2" s="72" t="s">
        <v>169</v>
      </c>
      <c r="W2" s="46"/>
      <c r="Y2" s="11"/>
    </row>
    <row r="3" spans="1:70" s="6" customFormat="1" ht="15.75">
      <c r="B3" s="43">
        <v>65</v>
      </c>
      <c r="C3" s="63" t="s">
        <v>250</v>
      </c>
      <c r="E3" s="4">
        <v>1</v>
      </c>
      <c r="F3" s="63" t="s">
        <v>6</v>
      </c>
      <c r="G3" s="4"/>
      <c r="H3" s="4"/>
      <c r="I3" s="4"/>
      <c r="J3" s="4"/>
      <c r="K3" s="4"/>
      <c r="L3" s="5">
        <v>2</v>
      </c>
      <c r="N3" s="64" t="str">
        <f t="shared" ref="N3:N34" si="0">V3&amp;U3</f>
        <v>A1</v>
      </c>
      <c r="O3" s="64" t="s">
        <v>250</v>
      </c>
      <c r="P3" s="8">
        <v>31345</v>
      </c>
      <c r="Q3" s="67">
        <f t="shared" ref="Q3:Q34" si="1">INDEX($B$3:$C$34,MATCH(O3,$C$3:$C$34,0),1)</f>
        <v>65</v>
      </c>
      <c r="R3" s="9">
        <v>78</v>
      </c>
      <c r="S3" s="67">
        <f t="shared" ref="S3:S34" si="2">RANK(R3,$R$3:$R$34)</f>
        <v>10</v>
      </c>
      <c r="T3" s="67">
        <f t="shared" ref="T3:T34" si="3">Q3+S3*0.01</f>
        <v>65.099999999999994</v>
      </c>
      <c r="U3" s="10">
        <v>1</v>
      </c>
      <c r="V3" s="9" t="s">
        <v>161</v>
      </c>
      <c r="W3" s="47"/>
      <c r="Y3" s="41"/>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row>
    <row r="4" spans="1:70" s="6" customFormat="1" ht="15.75">
      <c r="B4" s="44">
        <v>1</v>
      </c>
      <c r="C4" s="64" t="s">
        <v>76</v>
      </c>
      <c r="E4" s="4">
        <v>2</v>
      </c>
      <c r="F4" s="73" t="s">
        <v>7</v>
      </c>
      <c r="G4" s="4"/>
      <c r="H4" s="4"/>
      <c r="I4" s="4"/>
      <c r="J4" s="4"/>
      <c r="K4" s="4"/>
      <c r="L4" s="5">
        <v>8.5</v>
      </c>
      <c r="N4" s="64" t="str">
        <f t="shared" si="0"/>
        <v>A2</v>
      </c>
      <c r="O4" s="64" t="s">
        <v>237</v>
      </c>
      <c r="P4" s="8">
        <v>31254</v>
      </c>
      <c r="Q4" s="67">
        <f t="shared" si="1"/>
        <v>17</v>
      </c>
      <c r="R4" s="9">
        <v>37</v>
      </c>
      <c r="S4" s="67">
        <f t="shared" si="2"/>
        <v>24</v>
      </c>
      <c r="T4" s="67">
        <f t="shared" si="3"/>
        <v>17.239999999999998</v>
      </c>
      <c r="U4" s="10">
        <v>2</v>
      </c>
      <c r="V4" s="9" t="s">
        <v>161</v>
      </c>
      <c r="W4" s="47"/>
      <c r="Y4" s="41"/>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row>
    <row r="5" spans="1:70" s="6" customFormat="1" ht="15.75">
      <c r="B5" s="44">
        <v>2</v>
      </c>
      <c r="C5" s="64" t="s">
        <v>229</v>
      </c>
      <c r="E5" s="4">
        <v>3</v>
      </c>
      <c r="F5" s="73" t="s">
        <v>8</v>
      </c>
      <c r="G5" s="4"/>
      <c r="H5" s="4"/>
      <c r="I5" s="4"/>
      <c r="J5" s="4"/>
      <c r="K5" s="4"/>
      <c r="L5" s="5">
        <v>2</v>
      </c>
      <c r="N5" s="64" t="str">
        <f t="shared" si="0"/>
        <v>A3</v>
      </c>
      <c r="O5" s="64" t="s">
        <v>240</v>
      </c>
      <c r="P5" s="8">
        <v>28038</v>
      </c>
      <c r="Q5" s="67">
        <f t="shared" si="1"/>
        <v>31</v>
      </c>
      <c r="R5" s="9">
        <v>81</v>
      </c>
      <c r="S5" s="67">
        <f t="shared" si="2"/>
        <v>9</v>
      </c>
      <c r="T5" s="67">
        <f t="shared" si="3"/>
        <v>31.09</v>
      </c>
      <c r="U5" s="10">
        <v>3</v>
      </c>
      <c r="V5" s="9" t="s">
        <v>161</v>
      </c>
      <c r="W5" s="47"/>
      <c r="Y5" s="41"/>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row>
    <row r="6" spans="1:70" s="6" customFormat="1" ht="15.75">
      <c r="B6" s="44">
        <v>3</v>
      </c>
      <c r="C6" s="64" t="s">
        <v>84</v>
      </c>
      <c r="E6" s="4">
        <v>4</v>
      </c>
      <c r="F6" s="73" t="s">
        <v>9</v>
      </c>
      <c r="G6" s="4"/>
      <c r="H6" s="4"/>
      <c r="I6" s="4"/>
      <c r="J6" s="4"/>
      <c r="K6" s="4"/>
      <c r="L6" s="5">
        <v>0</v>
      </c>
      <c r="N6" s="66" t="str">
        <f t="shared" si="0"/>
        <v>A4</v>
      </c>
      <c r="O6" s="66" t="s">
        <v>249</v>
      </c>
      <c r="P6" s="8">
        <v>23216</v>
      </c>
      <c r="Q6" s="67">
        <f t="shared" si="1"/>
        <v>63</v>
      </c>
      <c r="R6" s="68">
        <v>63</v>
      </c>
      <c r="S6" s="67">
        <f t="shared" si="2"/>
        <v>17</v>
      </c>
      <c r="T6" s="67">
        <f t="shared" si="3"/>
        <v>63.17</v>
      </c>
      <c r="U6" s="10">
        <v>4</v>
      </c>
      <c r="V6" s="9" t="s">
        <v>161</v>
      </c>
      <c r="W6" s="47"/>
      <c r="Y6" s="41"/>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row>
    <row r="7" spans="1:70" s="6" customFormat="1" ht="15.75">
      <c r="B7" s="44">
        <v>4</v>
      </c>
      <c r="C7" s="64" t="s">
        <v>228</v>
      </c>
      <c r="E7" s="4">
        <v>5</v>
      </c>
      <c r="F7" s="73" t="s">
        <v>10</v>
      </c>
      <c r="G7" s="4"/>
      <c r="H7" s="4"/>
      <c r="I7" s="4"/>
      <c r="J7" s="4"/>
      <c r="K7" s="4"/>
      <c r="L7" s="5">
        <v>5</v>
      </c>
      <c r="N7" s="64" t="str">
        <f t="shared" si="0"/>
        <v>B1</v>
      </c>
      <c r="O7" s="64" t="s">
        <v>84</v>
      </c>
      <c r="P7" s="8">
        <v>35963</v>
      </c>
      <c r="Q7" s="67">
        <f t="shared" si="1"/>
        <v>3</v>
      </c>
      <c r="R7" s="68">
        <v>84</v>
      </c>
      <c r="S7" s="67">
        <f t="shared" si="2"/>
        <v>7</v>
      </c>
      <c r="T7" s="67">
        <f t="shared" si="3"/>
        <v>3.07</v>
      </c>
      <c r="U7" s="10">
        <v>1</v>
      </c>
      <c r="V7" s="9" t="s">
        <v>162</v>
      </c>
      <c r="W7" s="47"/>
      <c r="Y7" s="41"/>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row>
    <row r="8" spans="1:70" s="6" customFormat="1" ht="15.75">
      <c r="B8" s="44">
        <v>5</v>
      </c>
      <c r="C8" s="64" t="s">
        <v>85</v>
      </c>
      <c r="E8" s="4">
        <v>6</v>
      </c>
      <c r="F8" s="73" t="s">
        <v>91</v>
      </c>
      <c r="G8" s="4"/>
      <c r="H8" s="4"/>
      <c r="I8" s="4"/>
      <c r="J8" s="4"/>
      <c r="K8" s="4"/>
      <c r="L8" s="5">
        <v>2</v>
      </c>
      <c r="N8" s="64" t="str">
        <f t="shared" si="0"/>
        <v>B2</v>
      </c>
      <c r="O8" s="64" t="s">
        <v>81</v>
      </c>
      <c r="P8" s="8">
        <v>33599</v>
      </c>
      <c r="Q8" s="67">
        <f t="shared" si="1"/>
        <v>8</v>
      </c>
      <c r="R8" s="68">
        <v>91</v>
      </c>
      <c r="S8" s="67">
        <f t="shared" si="2"/>
        <v>5</v>
      </c>
      <c r="T8" s="67">
        <f t="shared" si="3"/>
        <v>8.0500000000000007</v>
      </c>
      <c r="U8" s="10">
        <v>2</v>
      </c>
      <c r="V8" s="9" t="s">
        <v>162</v>
      </c>
      <c r="W8" s="47"/>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0" s="6" customFormat="1" ht="15.75">
      <c r="B9" s="44">
        <v>6</v>
      </c>
      <c r="C9" s="64" t="s">
        <v>88</v>
      </c>
      <c r="E9" s="4">
        <v>7</v>
      </c>
      <c r="F9" s="73" t="s">
        <v>92</v>
      </c>
      <c r="G9" s="4"/>
      <c r="H9" s="4"/>
      <c r="I9" s="4"/>
      <c r="J9" s="4"/>
      <c r="K9" s="4"/>
      <c r="L9" s="5">
        <v>1</v>
      </c>
      <c r="N9" s="64" t="str">
        <f t="shared" si="0"/>
        <v>B3</v>
      </c>
      <c r="O9" s="64" t="s">
        <v>242</v>
      </c>
      <c r="P9" s="8">
        <v>27171</v>
      </c>
      <c r="Q9" s="67">
        <f t="shared" si="1"/>
        <v>34</v>
      </c>
      <c r="R9" s="9">
        <v>68</v>
      </c>
      <c r="S9" s="67">
        <f t="shared" si="2"/>
        <v>15</v>
      </c>
      <c r="T9" s="67">
        <f t="shared" si="3"/>
        <v>34.15</v>
      </c>
      <c r="U9" s="10">
        <v>3</v>
      </c>
      <c r="V9" s="9" t="s">
        <v>162</v>
      </c>
      <c r="W9" s="47"/>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0" s="6" customFormat="1" ht="16.5" thickBot="1">
      <c r="B10" s="45">
        <v>7</v>
      </c>
      <c r="C10" s="65" t="s">
        <v>171</v>
      </c>
      <c r="E10" s="4">
        <v>8</v>
      </c>
      <c r="F10" s="73" t="s">
        <v>93</v>
      </c>
      <c r="G10" s="4"/>
      <c r="H10" s="4"/>
      <c r="I10" s="4"/>
      <c r="J10" s="4"/>
      <c r="K10" s="4"/>
      <c r="L10" s="5">
        <v>12</v>
      </c>
      <c r="N10" s="64" t="str">
        <f t="shared" si="0"/>
        <v>B4</v>
      </c>
      <c r="O10" s="64" t="s">
        <v>246</v>
      </c>
      <c r="P10" s="8">
        <v>24521</v>
      </c>
      <c r="Q10" s="67">
        <f t="shared" si="1"/>
        <v>48</v>
      </c>
      <c r="R10" s="9">
        <v>10</v>
      </c>
      <c r="S10" s="67">
        <f t="shared" si="2"/>
        <v>30</v>
      </c>
      <c r="T10" s="67">
        <f t="shared" si="3"/>
        <v>48.3</v>
      </c>
      <c r="U10" s="10">
        <v>4</v>
      </c>
      <c r="V10" s="9" t="s">
        <v>162</v>
      </c>
      <c r="W10" s="47"/>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0" s="6" customFormat="1" ht="15.75">
      <c r="B11" s="43">
        <v>8</v>
      </c>
      <c r="C11" s="63" t="s">
        <v>81</v>
      </c>
      <c r="E11" s="4">
        <v>9</v>
      </c>
      <c r="F11" s="73" t="s">
        <v>94</v>
      </c>
      <c r="G11" s="4"/>
      <c r="H11" s="4"/>
      <c r="I11" s="4"/>
      <c r="J11" s="4"/>
      <c r="K11" s="4"/>
      <c r="L11" s="5">
        <v>-9</v>
      </c>
      <c r="N11" s="64" t="str">
        <f t="shared" si="0"/>
        <v>C1</v>
      </c>
      <c r="O11" s="64" t="s">
        <v>171</v>
      </c>
      <c r="P11" s="8">
        <v>40236</v>
      </c>
      <c r="Q11" s="67">
        <f t="shared" si="1"/>
        <v>7</v>
      </c>
      <c r="R11" s="68">
        <v>100</v>
      </c>
      <c r="S11" s="67">
        <f t="shared" si="2"/>
        <v>1</v>
      </c>
      <c r="T11" s="67">
        <f t="shared" si="3"/>
        <v>7.01</v>
      </c>
      <c r="U11" s="10">
        <v>1</v>
      </c>
      <c r="V11" s="9" t="s">
        <v>163</v>
      </c>
      <c r="W11" s="47"/>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row>
    <row r="12" spans="1:70" s="6" customFormat="1" ht="15.75">
      <c r="B12" s="44">
        <v>10</v>
      </c>
      <c r="C12" s="64" t="s">
        <v>234</v>
      </c>
      <c r="E12" s="4">
        <v>10</v>
      </c>
      <c r="F12" s="73" t="s">
        <v>95</v>
      </c>
      <c r="G12" s="4"/>
      <c r="H12" s="4"/>
      <c r="I12" s="4"/>
      <c r="J12" s="4"/>
      <c r="K12" s="4"/>
      <c r="L12" s="5">
        <v>2</v>
      </c>
      <c r="N12" s="64" t="str">
        <f t="shared" si="0"/>
        <v>C2</v>
      </c>
      <c r="O12" s="64" t="s">
        <v>234</v>
      </c>
      <c r="P12" s="8">
        <v>30313</v>
      </c>
      <c r="Q12" s="67">
        <f t="shared" si="1"/>
        <v>10</v>
      </c>
      <c r="R12" s="9">
        <v>39</v>
      </c>
      <c r="S12" s="67">
        <f t="shared" si="2"/>
        <v>22</v>
      </c>
      <c r="T12" s="67">
        <f t="shared" si="3"/>
        <v>10.220000000000001</v>
      </c>
      <c r="U12" s="10">
        <v>2</v>
      </c>
      <c r="V12" s="9" t="s">
        <v>163</v>
      </c>
      <c r="W12" s="47"/>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70" s="6" customFormat="1" ht="15.75">
      <c r="B13" s="44">
        <v>11</v>
      </c>
      <c r="C13" s="64" t="s">
        <v>83</v>
      </c>
      <c r="E13" s="4">
        <v>11</v>
      </c>
      <c r="F13" s="73" t="s">
        <v>11</v>
      </c>
      <c r="G13" s="4"/>
      <c r="H13" s="4"/>
      <c r="I13" s="4"/>
      <c r="J13" s="4"/>
      <c r="K13" s="4"/>
      <c r="L13" s="5">
        <v>2</v>
      </c>
      <c r="N13" s="64" t="str">
        <f t="shared" si="0"/>
        <v>C3</v>
      </c>
      <c r="O13" s="64" t="s">
        <v>238</v>
      </c>
      <c r="P13" s="8">
        <v>28306</v>
      </c>
      <c r="Q13" s="67">
        <f t="shared" si="1"/>
        <v>19</v>
      </c>
      <c r="R13" s="9">
        <v>72</v>
      </c>
      <c r="S13" s="67">
        <f t="shared" si="2"/>
        <v>12</v>
      </c>
      <c r="T13" s="67">
        <f t="shared" si="3"/>
        <v>19.12</v>
      </c>
      <c r="U13" s="10">
        <v>3</v>
      </c>
      <c r="V13" s="9" t="s">
        <v>163</v>
      </c>
      <c r="W13" s="47"/>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row>
    <row r="14" spans="1:70" s="6" customFormat="1" ht="15.75">
      <c r="B14" s="44">
        <v>12</v>
      </c>
      <c r="C14" s="64" t="s">
        <v>82</v>
      </c>
      <c r="E14" s="4">
        <v>12</v>
      </c>
      <c r="F14" s="73" t="s">
        <v>12</v>
      </c>
      <c r="G14" s="4"/>
      <c r="H14" s="4"/>
      <c r="I14" s="4"/>
      <c r="J14" s="4"/>
      <c r="K14" s="4"/>
      <c r="L14" s="5">
        <v>-5</v>
      </c>
      <c r="N14" s="64" t="str">
        <f t="shared" si="0"/>
        <v>C4</v>
      </c>
      <c r="O14" s="64" t="s">
        <v>245</v>
      </c>
      <c r="P14" s="8">
        <v>22961</v>
      </c>
      <c r="Q14" s="67">
        <f t="shared" si="1"/>
        <v>43</v>
      </c>
      <c r="R14" s="9">
        <v>82</v>
      </c>
      <c r="S14" s="67">
        <f t="shared" si="2"/>
        <v>8</v>
      </c>
      <c r="T14" s="67">
        <f t="shared" si="3"/>
        <v>43.08</v>
      </c>
      <c r="U14" s="10">
        <v>4</v>
      </c>
      <c r="V14" s="9" t="s">
        <v>163</v>
      </c>
      <c r="W14" s="47"/>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row>
    <row r="15" spans="1:70" s="6" customFormat="1" ht="15.75">
      <c r="B15" s="44">
        <v>13</v>
      </c>
      <c r="C15" s="64" t="s">
        <v>235</v>
      </c>
      <c r="E15" s="4">
        <v>13</v>
      </c>
      <c r="F15" s="73" t="s">
        <v>96</v>
      </c>
      <c r="G15" s="4"/>
      <c r="H15" s="4"/>
      <c r="I15" s="4"/>
      <c r="J15" s="4"/>
      <c r="K15" s="4"/>
      <c r="L15" s="5">
        <v>2</v>
      </c>
      <c r="N15" s="64" t="str">
        <f t="shared" si="0"/>
        <v>D1</v>
      </c>
      <c r="O15" s="64" t="s">
        <v>228</v>
      </c>
      <c r="P15" s="8">
        <v>37963</v>
      </c>
      <c r="Q15" s="67">
        <f t="shared" si="1"/>
        <v>4</v>
      </c>
      <c r="R15" s="9">
        <v>2</v>
      </c>
      <c r="S15" s="67">
        <f t="shared" si="2"/>
        <v>32</v>
      </c>
      <c r="T15" s="67">
        <f t="shared" si="3"/>
        <v>4.32</v>
      </c>
      <c r="U15" s="10">
        <v>1</v>
      </c>
      <c r="V15" s="9" t="s">
        <v>164</v>
      </c>
      <c r="W15" s="47"/>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row>
    <row r="16" spans="1:70" s="6" customFormat="1" ht="15.75">
      <c r="B16" s="44">
        <v>16</v>
      </c>
      <c r="C16" s="64" t="s">
        <v>236</v>
      </c>
      <c r="E16" s="4">
        <v>14</v>
      </c>
      <c r="F16" s="73" t="s">
        <v>97</v>
      </c>
      <c r="G16" s="4"/>
      <c r="H16" s="4"/>
      <c r="I16" s="4"/>
      <c r="J16" s="4"/>
      <c r="K16" s="4"/>
      <c r="L16" s="5">
        <v>-5</v>
      </c>
      <c r="N16" s="64" t="str">
        <f t="shared" si="0"/>
        <v>D2</v>
      </c>
      <c r="O16" s="64" t="s">
        <v>80</v>
      </c>
      <c r="P16" s="8">
        <v>30642</v>
      </c>
      <c r="Q16" s="67">
        <f t="shared" si="1"/>
        <v>18</v>
      </c>
      <c r="R16" s="68">
        <v>91</v>
      </c>
      <c r="S16" s="67">
        <f t="shared" si="2"/>
        <v>5</v>
      </c>
      <c r="T16" s="67">
        <f t="shared" si="3"/>
        <v>18.05</v>
      </c>
      <c r="U16" s="10">
        <v>2</v>
      </c>
      <c r="V16" s="9" t="s">
        <v>164</v>
      </c>
      <c r="W16" s="47"/>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row>
    <row r="17" spans="2:70" s="6" customFormat="1" ht="15.75">
      <c r="B17" s="44">
        <v>17</v>
      </c>
      <c r="C17" s="64" t="s">
        <v>237</v>
      </c>
      <c r="E17" s="4">
        <v>15</v>
      </c>
      <c r="F17" s="73" t="s">
        <v>13</v>
      </c>
      <c r="G17" s="4"/>
      <c r="H17" s="4"/>
      <c r="I17" s="4"/>
      <c r="J17" s="4"/>
      <c r="K17" s="4"/>
      <c r="L17" s="5">
        <v>11</v>
      </c>
      <c r="N17" s="64" t="str">
        <f t="shared" si="0"/>
        <v>D3</v>
      </c>
      <c r="O17" s="64" t="s">
        <v>167</v>
      </c>
      <c r="P17" s="8">
        <v>29403</v>
      </c>
      <c r="Q17" s="67">
        <f t="shared" si="1"/>
        <v>21</v>
      </c>
      <c r="R17" s="68">
        <v>99</v>
      </c>
      <c r="S17" s="67">
        <f t="shared" si="2"/>
        <v>3</v>
      </c>
      <c r="T17" s="67">
        <f t="shared" si="3"/>
        <v>21.03</v>
      </c>
      <c r="U17" s="10">
        <v>3</v>
      </c>
      <c r="V17" s="9" t="s">
        <v>164</v>
      </c>
      <c r="W17" s="47"/>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row>
    <row r="18" spans="2:70" s="6" customFormat="1" ht="16.5" thickBot="1">
      <c r="B18" s="45">
        <v>18</v>
      </c>
      <c r="C18" s="65" t="s">
        <v>80</v>
      </c>
      <c r="E18" s="4">
        <v>16</v>
      </c>
      <c r="F18" s="73" t="s">
        <v>14</v>
      </c>
      <c r="G18" s="4"/>
      <c r="H18" s="4"/>
      <c r="I18" s="4"/>
      <c r="J18" s="4"/>
      <c r="K18" s="4"/>
      <c r="L18" s="5">
        <v>2</v>
      </c>
      <c r="N18" s="64" t="str">
        <f t="shared" si="0"/>
        <v>D4</v>
      </c>
      <c r="O18" s="64" t="s">
        <v>244</v>
      </c>
      <c r="P18" s="8">
        <v>27033</v>
      </c>
      <c r="Q18" s="67">
        <f t="shared" si="1"/>
        <v>41</v>
      </c>
      <c r="R18" s="9">
        <v>59</v>
      </c>
      <c r="S18" s="67">
        <f t="shared" si="2"/>
        <v>19</v>
      </c>
      <c r="T18" s="67">
        <f t="shared" si="3"/>
        <v>41.19</v>
      </c>
      <c r="U18" s="10">
        <v>4</v>
      </c>
      <c r="V18" s="9" t="s">
        <v>164</v>
      </c>
      <c r="W18" s="47"/>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row>
    <row r="19" spans="2:70" s="6" customFormat="1" ht="15.75">
      <c r="B19" s="43">
        <v>19</v>
      </c>
      <c r="C19" s="63" t="s">
        <v>238</v>
      </c>
      <c r="E19" s="4">
        <v>17</v>
      </c>
      <c r="F19" s="73" t="s">
        <v>15</v>
      </c>
      <c r="G19" s="4"/>
      <c r="H19" s="4"/>
      <c r="I19" s="4"/>
      <c r="J19" s="4"/>
      <c r="K19" s="4"/>
      <c r="L19" s="5">
        <v>6</v>
      </c>
      <c r="N19" s="64" t="str">
        <f t="shared" si="0"/>
        <v>E1</v>
      </c>
      <c r="O19" s="64" t="s">
        <v>229</v>
      </c>
      <c r="P19" s="8">
        <v>34442</v>
      </c>
      <c r="Q19" s="67">
        <f t="shared" si="1"/>
        <v>2</v>
      </c>
      <c r="R19" s="68">
        <v>5</v>
      </c>
      <c r="S19" s="67">
        <f t="shared" si="2"/>
        <v>31</v>
      </c>
      <c r="T19" s="67">
        <f t="shared" si="3"/>
        <v>2.31</v>
      </c>
      <c r="U19" s="10">
        <v>1</v>
      </c>
      <c r="V19" s="9" t="s">
        <v>165</v>
      </c>
      <c r="W19" s="47"/>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row>
    <row r="20" spans="2:70" s="6" customFormat="1" ht="15.75">
      <c r="B20" s="44">
        <v>21</v>
      </c>
      <c r="C20" s="64" t="s">
        <v>167</v>
      </c>
      <c r="E20" s="4">
        <v>18</v>
      </c>
      <c r="F20" s="73" t="s">
        <v>98</v>
      </c>
      <c r="G20" s="4"/>
      <c r="H20" s="4"/>
      <c r="I20" s="4"/>
      <c r="J20" s="4"/>
      <c r="K20" s="4"/>
      <c r="L20" s="5">
        <v>1</v>
      </c>
      <c r="N20" s="64" t="str">
        <f t="shared" si="0"/>
        <v>E2</v>
      </c>
      <c r="O20" s="64" t="s">
        <v>83</v>
      </c>
      <c r="P20" s="8">
        <v>35345</v>
      </c>
      <c r="Q20" s="67">
        <f t="shared" si="1"/>
        <v>11</v>
      </c>
      <c r="R20" s="9">
        <v>100</v>
      </c>
      <c r="S20" s="67">
        <f t="shared" si="2"/>
        <v>1</v>
      </c>
      <c r="T20" s="67">
        <f t="shared" si="3"/>
        <v>11.01</v>
      </c>
      <c r="U20" s="10">
        <v>2</v>
      </c>
      <c r="V20" s="9" t="s">
        <v>165</v>
      </c>
      <c r="W20" s="47"/>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2:70" s="6" customFormat="1" ht="15.75">
      <c r="B21" s="44">
        <v>22</v>
      </c>
      <c r="C21" s="64" t="s">
        <v>230</v>
      </c>
      <c r="E21" s="4">
        <v>19</v>
      </c>
      <c r="F21" s="73" t="s">
        <v>16</v>
      </c>
      <c r="G21" s="4"/>
      <c r="H21" s="4"/>
      <c r="I21" s="4"/>
      <c r="J21" s="4"/>
      <c r="K21" s="4"/>
      <c r="L21" s="5">
        <v>7</v>
      </c>
      <c r="N21" s="64" t="str">
        <f t="shared" si="0"/>
        <v>E3</v>
      </c>
      <c r="O21" s="64" t="s">
        <v>230</v>
      </c>
      <c r="P21" s="8">
        <v>29028</v>
      </c>
      <c r="Q21" s="67">
        <f t="shared" si="1"/>
        <v>22</v>
      </c>
      <c r="R21" s="9">
        <v>31</v>
      </c>
      <c r="S21" s="67">
        <f t="shared" si="2"/>
        <v>25</v>
      </c>
      <c r="T21" s="67">
        <f t="shared" si="3"/>
        <v>22.25</v>
      </c>
      <c r="U21" s="10">
        <v>3</v>
      </c>
      <c r="V21" s="9" t="s">
        <v>165</v>
      </c>
      <c r="W21" s="47"/>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2:70" s="6" customFormat="1" ht="15.75">
      <c r="B22" s="44">
        <v>25</v>
      </c>
      <c r="C22" s="64" t="s">
        <v>160</v>
      </c>
      <c r="E22" s="4">
        <v>20</v>
      </c>
      <c r="F22" s="73" t="s">
        <v>99</v>
      </c>
      <c r="G22" s="4"/>
      <c r="H22" s="4"/>
      <c r="I22" s="4"/>
      <c r="J22" s="4"/>
      <c r="K22" s="4"/>
      <c r="L22" s="5">
        <v>2</v>
      </c>
      <c r="N22" s="64" t="str">
        <f t="shared" si="0"/>
        <v>E4</v>
      </c>
      <c r="O22" s="64" t="s">
        <v>243</v>
      </c>
      <c r="P22" s="8">
        <v>25388</v>
      </c>
      <c r="Q22" s="67">
        <f t="shared" si="1"/>
        <v>38</v>
      </c>
      <c r="R22" s="9">
        <v>14</v>
      </c>
      <c r="S22" s="67">
        <f t="shared" si="2"/>
        <v>29</v>
      </c>
      <c r="T22" s="67">
        <f t="shared" si="3"/>
        <v>38.29</v>
      </c>
      <c r="U22" s="10">
        <v>4</v>
      </c>
      <c r="V22" s="9" t="s">
        <v>165</v>
      </c>
      <c r="W22" s="47"/>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row>
    <row r="23" spans="2:70" s="6" customFormat="1" ht="15.75">
      <c r="B23" s="44">
        <v>28</v>
      </c>
      <c r="C23" s="64" t="s">
        <v>239</v>
      </c>
      <c r="E23" s="4">
        <v>21</v>
      </c>
      <c r="F23" s="73" t="s">
        <v>100</v>
      </c>
      <c r="G23" s="4"/>
      <c r="H23" s="4"/>
      <c r="I23" s="4"/>
      <c r="J23" s="4"/>
      <c r="K23" s="4"/>
      <c r="L23" s="5">
        <v>1</v>
      </c>
      <c r="N23" s="66" t="str">
        <f t="shared" si="0"/>
        <v>F1</v>
      </c>
      <c r="O23" s="66" t="s">
        <v>76</v>
      </c>
      <c r="P23" s="8">
        <v>35138</v>
      </c>
      <c r="Q23" s="67">
        <f t="shared" si="1"/>
        <v>1</v>
      </c>
      <c r="R23" s="9">
        <v>24</v>
      </c>
      <c r="S23" s="67">
        <f t="shared" si="2"/>
        <v>28</v>
      </c>
      <c r="T23" s="67">
        <f t="shared" si="3"/>
        <v>1.28</v>
      </c>
      <c r="U23" s="10">
        <v>1</v>
      </c>
      <c r="V23" s="9" t="s">
        <v>166</v>
      </c>
      <c r="W23" s="47"/>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row>
    <row r="24" spans="2:70" s="6" customFormat="1" ht="15.75">
      <c r="B24" s="44">
        <v>31</v>
      </c>
      <c r="C24" s="64" t="s">
        <v>240</v>
      </c>
      <c r="E24" s="4">
        <v>22</v>
      </c>
      <c r="F24" s="73" t="s">
        <v>101</v>
      </c>
      <c r="G24" s="4"/>
      <c r="H24" s="4"/>
      <c r="I24" s="4"/>
      <c r="J24" s="4"/>
      <c r="K24" s="4"/>
      <c r="L24" s="5">
        <v>1</v>
      </c>
      <c r="N24" s="64" t="str">
        <f t="shared" si="0"/>
        <v>F2</v>
      </c>
      <c r="O24" s="64" t="s">
        <v>236</v>
      </c>
      <c r="P24" s="8">
        <v>30932</v>
      </c>
      <c r="Q24" s="67">
        <f t="shared" si="1"/>
        <v>16</v>
      </c>
      <c r="R24" s="68">
        <v>39</v>
      </c>
      <c r="S24" s="67">
        <f t="shared" si="2"/>
        <v>22</v>
      </c>
      <c r="T24" s="67">
        <f t="shared" si="3"/>
        <v>16.22</v>
      </c>
      <c r="U24" s="10">
        <v>2</v>
      </c>
      <c r="V24" s="9" t="s">
        <v>166</v>
      </c>
      <c r="W24" s="47"/>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row>
    <row r="25" spans="2:70" ht="15.75">
      <c r="B25" s="44">
        <v>32</v>
      </c>
      <c r="C25" s="64" t="s">
        <v>241</v>
      </c>
      <c r="E25" s="2">
        <v>23</v>
      </c>
      <c r="F25" s="73" t="s">
        <v>17</v>
      </c>
      <c r="G25" s="2"/>
      <c r="H25" s="2"/>
      <c r="I25" s="2"/>
      <c r="J25" s="2"/>
      <c r="K25" s="2"/>
      <c r="L25" s="3">
        <v>-6</v>
      </c>
      <c r="N25" s="64" t="str">
        <f t="shared" si="0"/>
        <v>F3</v>
      </c>
      <c r="O25" s="64" t="s">
        <v>160</v>
      </c>
      <c r="P25" s="8">
        <v>27142</v>
      </c>
      <c r="Q25" s="67">
        <f t="shared" si="1"/>
        <v>25</v>
      </c>
      <c r="R25" s="9">
        <v>46</v>
      </c>
      <c r="S25" s="67">
        <f t="shared" si="2"/>
        <v>20</v>
      </c>
      <c r="T25" s="67">
        <f t="shared" si="3"/>
        <v>25.2</v>
      </c>
      <c r="U25" s="10">
        <v>3</v>
      </c>
      <c r="V25" s="9" t="s">
        <v>166</v>
      </c>
      <c r="W25" s="4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row>
    <row r="26" spans="2:70" ht="16.5" thickBot="1">
      <c r="B26" s="45">
        <v>34</v>
      </c>
      <c r="C26" s="65" t="s">
        <v>242</v>
      </c>
      <c r="E26" s="2">
        <v>24</v>
      </c>
      <c r="F26" s="73" t="s">
        <v>102</v>
      </c>
      <c r="G26" s="2"/>
      <c r="H26" s="2"/>
      <c r="I26" s="2"/>
      <c r="J26" s="2"/>
      <c r="K26" s="2"/>
      <c r="L26" s="3">
        <v>-5</v>
      </c>
      <c r="N26" s="64" t="str">
        <f t="shared" si="0"/>
        <v>F4</v>
      </c>
      <c r="O26" s="64" t="s">
        <v>248</v>
      </c>
      <c r="P26" s="8">
        <v>27535</v>
      </c>
      <c r="Q26" s="67">
        <f t="shared" si="1"/>
        <v>62</v>
      </c>
      <c r="R26" s="9">
        <v>71</v>
      </c>
      <c r="S26" s="67">
        <f t="shared" si="2"/>
        <v>13</v>
      </c>
      <c r="T26" s="67">
        <f t="shared" si="3"/>
        <v>62.13</v>
      </c>
      <c r="U26" s="10">
        <v>4</v>
      </c>
      <c r="V26" s="9" t="s">
        <v>166</v>
      </c>
      <c r="W26" s="4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row>
    <row r="27" spans="2:70" ht="15.75">
      <c r="B27" s="43">
        <v>38</v>
      </c>
      <c r="C27" s="63" t="s">
        <v>243</v>
      </c>
      <c r="E27" s="2">
        <v>25</v>
      </c>
      <c r="F27" s="73" t="s">
        <v>18</v>
      </c>
      <c r="G27" s="2"/>
      <c r="H27" s="2"/>
      <c r="I27" s="2"/>
      <c r="J27" s="2"/>
      <c r="K27" s="2"/>
      <c r="L27" s="3">
        <v>-4</v>
      </c>
      <c r="N27" s="64" t="str">
        <f t="shared" si="0"/>
        <v>G1</v>
      </c>
      <c r="O27" s="66" t="s">
        <v>85</v>
      </c>
      <c r="P27" s="8">
        <v>20000</v>
      </c>
      <c r="Q27" s="67">
        <f t="shared" si="1"/>
        <v>5</v>
      </c>
      <c r="R27" s="9">
        <v>69</v>
      </c>
      <c r="S27" s="67">
        <f t="shared" si="2"/>
        <v>14</v>
      </c>
      <c r="T27" s="67">
        <f t="shared" si="3"/>
        <v>5.14</v>
      </c>
      <c r="U27" s="10">
        <v>1</v>
      </c>
      <c r="V27" s="9" t="s">
        <v>232</v>
      </c>
      <c r="W27" s="4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row>
    <row r="28" spans="2:70" ht="15.75">
      <c r="B28" s="44">
        <v>41</v>
      </c>
      <c r="C28" s="64" t="s">
        <v>244</v>
      </c>
      <c r="E28" s="2">
        <v>26</v>
      </c>
      <c r="F28" s="73" t="s">
        <v>19</v>
      </c>
      <c r="G28" s="2"/>
      <c r="H28" s="2"/>
      <c r="I28" s="2"/>
      <c r="J28" s="2"/>
      <c r="K28" s="2"/>
      <c r="L28" s="3">
        <v>9</v>
      </c>
      <c r="N28" s="64" t="str">
        <f t="shared" si="0"/>
        <v>G2</v>
      </c>
      <c r="O28" s="64" t="s">
        <v>82</v>
      </c>
      <c r="P28" s="8">
        <v>31183</v>
      </c>
      <c r="Q28" s="67">
        <f t="shared" si="1"/>
        <v>12</v>
      </c>
      <c r="R28" s="9">
        <v>64</v>
      </c>
      <c r="S28" s="67">
        <f t="shared" si="2"/>
        <v>16</v>
      </c>
      <c r="T28" s="67">
        <f t="shared" si="3"/>
        <v>12.16</v>
      </c>
      <c r="U28" s="10">
        <v>2</v>
      </c>
      <c r="V28" s="9" t="s">
        <v>232</v>
      </c>
      <c r="W28" s="4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row>
    <row r="29" spans="2:70" ht="15.75">
      <c r="B29" s="44">
        <v>43</v>
      </c>
      <c r="C29" s="64" t="s">
        <v>245</v>
      </c>
      <c r="E29" s="2">
        <v>27</v>
      </c>
      <c r="F29" s="73" t="s">
        <v>103</v>
      </c>
      <c r="G29" s="2"/>
      <c r="H29" s="2"/>
      <c r="I29" s="2"/>
      <c r="J29" s="2"/>
      <c r="K29" s="2"/>
      <c r="L29" s="3">
        <v>1</v>
      </c>
      <c r="N29" s="64" t="str">
        <f t="shared" si="0"/>
        <v>G3</v>
      </c>
      <c r="O29" s="64" t="s">
        <v>239</v>
      </c>
      <c r="P29" s="8">
        <v>27794</v>
      </c>
      <c r="Q29" s="67">
        <f t="shared" si="1"/>
        <v>28</v>
      </c>
      <c r="R29" s="9">
        <v>93</v>
      </c>
      <c r="S29" s="67">
        <f t="shared" si="2"/>
        <v>4</v>
      </c>
      <c r="T29" s="67">
        <f t="shared" si="3"/>
        <v>28.04</v>
      </c>
      <c r="U29" s="10">
        <v>3</v>
      </c>
      <c r="V29" s="9" t="s">
        <v>232</v>
      </c>
      <c r="W29" s="4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row>
    <row r="30" spans="2:70" ht="15.75">
      <c r="B30" s="44">
        <v>44</v>
      </c>
      <c r="C30" s="64" t="s">
        <v>231</v>
      </c>
      <c r="E30" s="2">
        <v>28</v>
      </c>
      <c r="F30" s="73" t="s">
        <v>104</v>
      </c>
      <c r="G30" s="2"/>
      <c r="H30" s="2"/>
      <c r="I30" s="2"/>
      <c r="J30" s="2"/>
      <c r="K30" s="2"/>
      <c r="L30" s="3">
        <v>2</v>
      </c>
      <c r="N30" s="64" t="str">
        <f t="shared" si="0"/>
        <v>G4</v>
      </c>
      <c r="O30" s="64" t="s">
        <v>247</v>
      </c>
      <c r="P30" s="8">
        <v>28283</v>
      </c>
      <c r="Q30" s="67">
        <f t="shared" si="1"/>
        <v>49</v>
      </c>
      <c r="R30" s="9">
        <v>25</v>
      </c>
      <c r="S30" s="67">
        <f t="shared" si="2"/>
        <v>27</v>
      </c>
      <c r="T30" s="67">
        <f t="shared" si="3"/>
        <v>49.27</v>
      </c>
      <c r="U30" s="10">
        <v>4</v>
      </c>
      <c r="V30" s="9" t="s">
        <v>232</v>
      </c>
      <c r="W30" s="4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row>
    <row r="31" spans="2:70" ht="15.75">
      <c r="B31" s="44">
        <v>48</v>
      </c>
      <c r="C31" s="64" t="s">
        <v>246</v>
      </c>
      <c r="E31" s="2">
        <v>29</v>
      </c>
      <c r="F31" s="73" t="s">
        <v>105</v>
      </c>
      <c r="G31" s="2"/>
      <c r="H31" s="2"/>
      <c r="I31" s="2"/>
      <c r="J31" s="2"/>
      <c r="K31" s="2"/>
      <c r="L31" s="3">
        <v>1</v>
      </c>
      <c r="N31" s="64" t="str">
        <f t="shared" si="0"/>
        <v>H1</v>
      </c>
      <c r="O31" s="64" t="s">
        <v>88</v>
      </c>
      <c r="P31" s="8">
        <v>39402</v>
      </c>
      <c r="Q31" s="67">
        <f t="shared" si="1"/>
        <v>6</v>
      </c>
      <c r="R31" s="68">
        <v>63</v>
      </c>
      <c r="S31" s="67">
        <f t="shared" si="2"/>
        <v>17</v>
      </c>
      <c r="T31" s="67">
        <f t="shared" si="3"/>
        <v>6.17</v>
      </c>
      <c r="U31" s="10">
        <v>1</v>
      </c>
      <c r="V31" s="9" t="s">
        <v>233</v>
      </c>
      <c r="W31" s="4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row>
    <row r="32" spans="2:70" ht="15.75">
      <c r="B32" s="44">
        <v>49</v>
      </c>
      <c r="C32" s="64" t="s">
        <v>247</v>
      </c>
      <c r="E32" s="2">
        <v>30</v>
      </c>
      <c r="F32" s="73" t="s">
        <v>20</v>
      </c>
      <c r="G32" s="2"/>
      <c r="H32" s="2"/>
      <c r="I32" s="2"/>
      <c r="J32" s="2"/>
      <c r="K32" s="2"/>
      <c r="L32" s="3">
        <v>-4</v>
      </c>
      <c r="N32" s="64" t="str">
        <f t="shared" si="0"/>
        <v>H2</v>
      </c>
      <c r="O32" s="64" t="s">
        <v>235</v>
      </c>
      <c r="P32" s="8">
        <v>25645</v>
      </c>
      <c r="Q32" s="67">
        <f t="shared" si="1"/>
        <v>13</v>
      </c>
      <c r="R32" s="9">
        <v>77</v>
      </c>
      <c r="S32" s="67">
        <f t="shared" si="2"/>
        <v>11</v>
      </c>
      <c r="T32" s="67">
        <f t="shared" si="3"/>
        <v>13.11</v>
      </c>
      <c r="U32" s="10">
        <v>2</v>
      </c>
      <c r="V32" s="9" t="s">
        <v>233</v>
      </c>
      <c r="W32" s="4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row>
    <row r="33" spans="2:70" ht="15.75">
      <c r="B33" s="44">
        <v>62</v>
      </c>
      <c r="C33" s="64" t="s">
        <v>248</v>
      </c>
      <c r="E33" s="2">
        <v>31</v>
      </c>
      <c r="F33" s="73" t="s">
        <v>21</v>
      </c>
      <c r="G33" s="2"/>
      <c r="H33" s="2"/>
      <c r="I33" s="2"/>
      <c r="J33" s="2"/>
      <c r="K33" s="2"/>
      <c r="L33" s="3">
        <v>1</v>
      </c>
      <c r="N33" s="64" t="str">
        <f t="shared" si="0"/>
        <v>H3</v>
      </c>
      <c r="O33" s="64" t="s">
        <v>241</v>
      </c>
      <c r="P33" s="8">
        <v>21104</v>
      </c>
      <c r="Q33" s="67">
        <f t="shared" si="1"/>
        <v>32</v>
      </c>
      <c r="R33" s="9">
        <v>42</v>
      </c>
      <c r="S33" s="67">
        <f t="shared" si="2"/>
        <v>21</v>
      </c>
      <c r="T33" s="67">
        <f t="shared" si="3"/>
        <v>32.21</v>
      </c>
      <c r="U33" s="10">
        <v>3</v>
      </c>
      <c r="V33" s="9" t="s">
        <v>233</v>
      </c>
      <c r="W33" s="4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row>
    <row r="34" spans="2:70" ht="16.5" thickBot="1">
      <c r="B34" s="45">
        <v>63</v>
      </c>
      <c r="C34" s="65" t="s">
        <v>249</v>
      </c>
      <c r="E34" s="2">
        <v>32</v>
      </c>
      <c r="F34" s="73" t="s">
        <v>22</v>
      </c>
      <c r="G34" s="2"/>
      <c r="H34" s="2"/>
      <c r="I34" s="2"/>
      <c r="J34" s="2"/>
      <c r="K34" s="2"/>
      <c r="L34" s="3">
        <v>9</v>
      </c>
      <c r="N34" s="64" t="str">
        <f t="shared" si="0"/>
        <v>H4</v>
      </c>
      <c r="O34" s="64" t="s">
        <v>231</v>
      </c>
      <c r="P34" s="8">
        <v>25873</v>
      </c>
      <c r="Q34" s="67">
        <f t="shared" si="1"/>
        <v>44</v>
      </c>
      <c r="R34" s="9">
        <v>31</v>
      </c>
      <c r="S34" s="67">
        <f t="shared" si="2"/>
        <v>25</v>
      </c>
      <c r="T34" s="67">
        <f t="shared" si="3"/>
        <v>44.25</v>
      </c>
      <c r="U34" s="10">
        <v>4</v>
      </c>
      <c r="V34" s="9" t="s">
        <v>233</v>
      </c>
      <c r="W34" s="4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row>
    <row r="35" spans="2:70">
      <c r="E35" s="2">
        <v>33</v>
      </c>
      <c r="F35" s="73" t="s">
        <v>23</v>
      </c>
      <c r="G35" s="2"/>
      <c r="H35" s="2"/>
      <c r="I35" s="2"/>
      <c r="J35" s="2"/>
      <c r="K35" s="2"/>
      <c r="L35" s="3">
        <v>1</v>
      </c>
      <c r="T35" s="15"/>
      <c r="U35" s="15"/>
      <c r="V35" s="16"/>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row>
    <row r="36" spans="2:70">
      <c r="C36" s="64" t="s">
        <v>275</v>
      </c>
      <c r="E36" s="2">
        <v>34</v>
      </c>
      <c r="F36" s="73" t="s">
        <v>24</v>
      </c>
      <c r="G36" s="2"/>
      <c r="H36" s="2"/>
      <c r="I36" s="2"/>
      <c r="J36" s="2"/>
      <c r="K36" s="2"/>
      <c r="L36" s="3">
        <v>-5.5</v>
      </c>
      <c r="T36" s="15"/>
      <c r="U36" s="15"/>
      <c r="V36" s="16"/>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row>
    <row r="37" spans="2:70">
      <c r="C37" s="64" t="s">
        <v>273</v>
      </c>
      <c r="E37" s="2">
        <v>35</v>
      </c>
      <c r="F37" s="73" t="s">
        <v>25</v>
      </c>
      <c r="G37" s="2"/>
      <c r="H37" s="2"/>
      <c r="I37" s="2"/>
      <c r="J37" s="2"/>
      <c r="K37" s="2"/>
      <c r="L37" s="3">
        <v>-1</v>
      </c>
      <c r="T37" s="15"/>
      <c r="U37" s="15"/>
      <c r="V37" s="16"/>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row>
    <row r="38" spans="2:70">
      <c r="C38" s="64" t="s">
        <v>264</v>
      </c>
      <c r="E38" s="2">
        <v>36</v>
      </c>
      <c r="F38" s="73" t="s">
        <v>106</v>
      </c>
      <c r="G38" s="2"/>
      <c r="H38" s="2"/>
      <c r="I38" s="2"/>
      <c r="J38" s="2"/>
      <c r="K38" s="2"/>
      <c r="L38" s="3">
        <v>-6</v>
      </c>
      <c r="T38" s="15"/>
      <c r="U38" s="15"/>
      <c r="V38" s="16"/>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row>
    <row r="39" spans="2:70">
      <c r="C39" s="64" t="s">
        <v>263</v>
      </c>
      <c r="E39" s="2">
        <v>37</v>
      </c>
      <c r="F39" s="73" t="s">
        <v>107</v>
      </c>
      <c r="G39" s="2"/>
      <c r="H39" s="2"/>
      <c r="I39" s="2"/>
      <c r="J39" s="2"/>
      <c r="K39" s="2"/>
      <c r="L39" s="3">
        <v>1</v>
      </c>
      <c r="T39" s="15"/>
      <c r="U39" s="15"/>
      <c r="V39" s="16"/>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row>
    <row r="40" spans="2:70">
      <c r="C40" s="64" t="s">
        <v>260</v>
      </c>
      <c r="E40" s="2">
        <v>38</v>
      </c>
      <c r="F40" s="73" t="s">
        <v>26</v>
      </c>
      <c r="G40" s="2"/>
      <c r="H40" s="2"/>
      <c r="I40" s="2"/>
      <c r="J40" s="2"/>
      <c r="K40" s="2"/>
      <c r="L40" s="3">
        <v>8.5</v>
      </c>
      <c r="T40" s="15"/>
      <c r="U40" s="15"/>
      <c r="V40" s="16"/>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row>
    <row r="41" spans="2:70">
      <c r="C41" s="64" t="s">
        <v>261</v>
      </c>
      <c r="E41" s="2">
        <v>39</v>
      </c>
      <c r="F41" s="73" t="s">
        <v>108</v>
      </c>
      <c r="G41" s="2"/>
      <c r="H41" s="2"/>
      <c r="I41" s="2"/>
      <c r="J41" s="2"/>
      <c r="K41" s="2"/>
      <c r="L41" s="3">
        <v>-7</v>
      </c>
      <c r="T41" s="15"/>
      <c r="U41" s="15"/>
      <c r="V41" s="16"/>
      <c r="Y41" s="1"/>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row>
    <row r="42" spans="2:70">
      <c r="C42" s="64" t="s">
        <v>262</v>
      </c>
      <c r="E42" s="2">
        <v>40</v>
      </c>
      <c r="F42" s="73" t="s">
        <v>109</v>
      </c>
      <c r="G42" s="2"/>
      <c r="H42" s="2"/>
      <c r="I42" s="2"/>
      <c r="J42" s="2"/>
      <c r="K42" s="2"/>
      <c r="L42" s="3">
        <v>-5</v>
      </c>
      <c r="T42" s="15"/>
      <c r="U42" s="15"/>
      <c r="V42" s="16"/>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row>
    <row r="43" spans="2:70">
      <c r="C43" s="64" t="s">
        <v>169</v>
      </c>
      <c r="E43" s="2">
        <v>41</v>
      </c>
      <c r="F43" s="73" t="s">
        <v>27</v>
      </c>
      <c r="G43" s="2"/>
      <c r="H43" s="2"/>
      <c r="I43" s="2"/>
      <c r="J43" s="2"/>
      <c r="K43" s="2"/>
      <c r="L43" s="3">
        <v>5</v>
      </c>
      <c r="T43" s="15"/>
      <c r="U43" s="15"/>
      <c r="V43" s="16"/>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row>
    <row r="44" spans="2:70">
      <c r="C44" s="64" t="s">
        <v>196</v>
      </c>
      <c r="E44" s="2">
        <v>42</v>
      </c>
      <c r="F44" s="73" t="s">
        <v>28</v>
      </c>
      <c r="G44" s="2"/>
      <c r="H44" s="2"/>
      <c r="I44" s="2"/>
      <c r="J44" s="2"/>
      <c r="K44" s="2"/>
      <c r="L44" s="3">
        <v>3</v>
      </c>
      <c r="N44" s="13"/>
      <c r="O44" s="13"/>
      <c r="P44" s="14"/>
      <c r="Q44" s="15"/>
      <c r="R44" s="17"/>
      <c r="S44"/>
      <c r="T44" s="15"/>
      <c r="U44" s="15"/>
      <c r="V44" s="16"/>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row>
    <row r="45" spans="2:70">
      <c r="C45" s="64" t="s">
        <v>178</v>
      </c>
      <c r="E45" s="2">
        <v>43</v>
      </c>
      <c r="F45" s="73" t="s">
        <v>110</v>
      </c>
      <c r="G45" s="2"/>
      <c r="H45" s="2"/>
      <c r="I45" s="2"/>
      <c r="J45" s="2"/>
      <c r="K45" s="2"/>
      <c r="L45" s="3">
        <v>0</v>
      </c>
      <c r="N45" s="13"/>
      <c r="O45" s="13"/>
      <c r="P45" s="14"/>
      <c r="Q45" s="15"/>
      <c r="R45" s="12"/>
      <c r="S45"/>
      <c r="T45" s="15"/>
      <c r="U45" s="15"/>
      <c r="V45" s="16"/>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row>
    <row r="46" spans="2:70">
      <c r="C46" s="64" t="s">
        <v>195</v>
      </c>
      <c r="E46" s="2">
        <v>44</v>
      </c>
      <c r="F46" s="73" t="s">
        <v>111</v>
      </c>
      <c r="G46" s="2"/>
      <c r="H46" s="2"/>
      <c r="I46" s="2"/>
      <c r="J46" s="2"/>
      <c r="K46" s="2"/>
      <c r="L46" s="3">
        <v>-7</v>
      </c>
      <c r="N46" s="13"/>
      <c r="O46" s="13"/>
      <c r="P46" s="14"/>
      <c r="Q46" s="15"/>
      <c r="R46" s="17"/>
      <c r="S46"/>
      <c r="T46" s="15"/>
      <c r="U46" s="15"/>
      <c r="V46" s="16"/>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row>
    <row r="47" spans="2:70">
      <c r="C47" s="64" t="s">
        <v>267</v>
      </c>
      <c r="E47" s="2">
        <v>45</v>
      </c>
      <c r="F47" s="73" t="s">
        <v>112</v>
      </c>
      <c r="G47" s="2"/>
      <c r="H47" s="2"/>
      <c r="I47" s="2"/>
      <c r="J47" s="2"/>
      <c r="K47" s="2"/>
      <c r="L47" s="3">
        <v>1</v>
      </c>
      <c r="N47" s="18"/>
      <c r="O47" s="18"/>
      <c r="P47" s="14"/>
      <c r="Q47" s="15"/>
      <c r="R47" s="12"/>
      <c r="S47"/>
      <c r="T47" s="15"/>
      <c r="U47" s="15"/>
      <c r="V47" s="16"/>
    </row>
    <row r="48" spans="2:70">
      <c r="C48" s="64" t="s">
        <v>268</v>
      </c>
      <c r="E48" s="2">
        <v>46</v>
      </c>
      <c r="F48" s="73" t="s">
        <v>113</v>
      </c>
      <c r="G48" s="2"/>
      <c r="H48" s="2"/>
      <c r="I48" s="2"/>
      <c r="J48" s="2"/>
      <c r="K48" s="2"/>
      <c r="L48" s="3">
        <v>1</v>
      </c>
      <c r="N48" s="13"/>
      <c r="O48" s="13"/>
      <c r="P48" s="14"/>
      <c r="Q48" s="15"/>
      <c r="R48" s="17"/>
      <c r="S48"/>
      <c r="T48" s="15"/>
      <c r="U48" s="15"/>
      <c r="V48" s="16"/>
    </row>
    <row r="49" spans="3:40">
      <c r="C49" s="64" t="s">
        <v>189</v>
      </c>
      <c r="E49" s="2">
        <v>47</v>
      </c>
      <c r="F49" s="73" t="s">
        <v>29</v>
      </c>
      <c r="G49" s="2"/>
      <c r="H49" s="2"/>
      <c r="I49" s="2"/>
      <c r="J49" s="2"/>
      <c r="K49" s="2"/>
      <c r="L49" s="3">
        <v>-7</v>
      </c>
      <c r="N49" s="13"/>
      <c r="O49" s="13"/>
      <c r="P49" s="14"/>
      <c r="Q49" s="15"/>
      <c r="R49" s="17"/>
      <c r="S49"/>
      <c r="T49" s="15"/>
      <c r="U49" s="15"/>
      <c r="V49" s="16"/>
    </row>
    <row r="50" spans="3:40">
      <c r="C50" s="64" t="s">
        <v>158</v>
      </c>
      <c r="E50" s="2">
        <v>48</v>
      </c>
      <c r="F50" s="73" t="s">
        <v>114</v>
      </c>
      <c r="G50" s="2"/>
      <c r="H50" s="2"/>
      <c r="I50" s="2"/>
      <c r="J50" s="2"/>
      <c r="K50" s="2"/>
      <c r="L50" s="3">
        <v>-4</v>
      </c>
      <c r="N50" s="13"/>
      <c r="O50" s="13"/>
      <c r="P50" s="14"/>
      <c r="Q50" s="15"/>
      <c r="R50" s="17"/>
      <c r="S50"/>
      <c r="T50" s="15"/>
      <c r="U50" s="15"/>
      <c r="V50" s="16"/>
    </row>
    <row r="51" spans="3:40">
      <c r="C51" s="64" t="s">
        <v>194</v>
      </c>
      <c r="E51" s="2">
        <v>49</v>
      </c>
      <c r="F51" s="73" t="s">
        <v>30</v>
      </c>
      <c r="G51" s="2"/>
      <c r="H51" s="2"/>
      <c r="I51" s="2"/>
      <c r="J51" s="2"/>
      <c r="K51" s="2"/>
      <c r="L51" s="3">
        <v>6</v>
      </c>
      <c r="N51" s="13"/>
      <c r="O51" s="13"/>
      <c r="P51" s="14"/>
      <c r="Q51" s="15"/>
      <c r="R51" s="17"/>
      <c r="S51"/>
      <c r="T51" s="15"/>
      <c r="U51" s="15"/>
      <c r="V51" s="16"/>
    </row>
    <row r="52" spans="3:40">
      <c r="C52" s="64" t="s">
        <v>190</v>
      </c>
      <c r="E52" s="2">
        <v>50</v>
      </c>
      <c r="F52" s="73" t="s">
        <v>31</v>
      </c>
      <c r="G52" s="2"/>
      <c r="H52" s="2"/>
      <c r="I52" s="2"/>
      <c r="J52" s="2"/>
      <c r="K52" s="2"/>
      <c r="L52" s="3">
        <v>1</v>
      </c>
      <c r="N52" s="18"/>
      <c r="O52" s="18"/>
      <c r="P52" s="14"/>
      <c r="Q52" s="15"/>
      <c r="R52" s="17"/>
      <c r="S52"/>
      <c r="T52" s="15"/>
      <c r="U52" s="15"/>
      <c r="V52" s="16"/>
    </row>
    <row r="53" spans="3:40">
      <c r="C53" s="64" t="s">
        <v>191</v>
      </c>
      <c r="E53" s="2">
        <v>51</v>
      </c>
      <c r="F53" s="73" t="s">
        <v>115</v>
      </c>
      <c r="G53" s="2"/>
      <c r="H53" s="2"/>
      <c r="I53" s="2"/>
      <c r="J53" s="2"/>
      <c r="K53" s="2"/>
      <c r="L53" s="3">
        <v>-5</v>
      </c>
      <c r="N53" s="13"/>
      <c r="O53" s="13"/>
      <c r="P53" s="14"/>
      <c r="Q53" s="15"/>
      <c r="R53" s="12"/>
      <c r="S53"/>
      <c r="T53" s="15"/>
      <c r="U53" s="15"/>
      <c r="V53" s="16"/>
    </row>
    <row r="54" spans="3:40">
      <c r="C54" s="64" t="s">
        <v>192</v>
      </c>
      <c r="E54" s="2">
        <v>52</v>
      </c>
      <c r="F54" s="73" t="s">
        <v>116</v>
      </c>
      <c r="G54" s="2"/>
      <c r="H54" s="2"/>
      <c r="I54" s="2"/>
      <c r="J54" s="2"/>
      <c r="K54" s="2"/>
      <c r="L54" s="3">
        <v>2</v>
      </c>
      <c r="N54" s="13"/>
      <c r="O54" s="13"/>
      <c r="P54" s="14"/>
      <c r="Q54" s="15"/>
      <c r="R54" s="12"/>
      <c r="S54"/>
      <c r="T54" s="15"/>
      <c r="U54" s="15"/>
      <c r="V54" s="16"/>
    </row>
    <row r="55" spans="3:40">
      <c r="C55" s="64" t="s">
        <v>193</v>
      </c>
      <c r="E55" s="2">
        <v>53</v>
      </c>
      <c r="F55" s="73" t="s">
        <v>32</v>
      </c>
      <c r="G55" s="2"/>
      <c r="H55" s="2"/>
      <c r="I55" s="2"/>
      <c r="J55" s="2"/>
      <c r="K55" s="2"/>
      <c r="L55" s="3">
        <v>7</v>
      </c>
      <c r="N55" s="13"/>
      <c r="O55" s="13"/>
      <c r="P55" s="14"/>
      <c r="Q55" s="15"/>
      <c r="R55" s="12"/>
      <c r="S55"/>
      <c r="T55" s="15"/>
      <c r="U55" s="15"/>
      <c r="V55" s="16"/>
    </row>
    <row r="56" spans="3:40">
      <c r="C56" s="64" t="s">
        <v>78</v>
      </c>
      <c r="E56" s="2">
        <v>54</v>
      </c>
      <c r="F56" s="73" t="s">
        <v>33</v>
      </c>
      <c r="G56" s="2"/>
      <c r="H56" s="2"/>
      <c r="I56" s="2"/>
      <c r="J56" s="2"/>
      <c r="K56" s="2"/>
      <c r="L56" s="3">
        <v>-11</v>
      </c>
      <c r="N56" s="13"/>
      <c r="O56" s="13"/>
      <c r="P56" s="14"/>
      <c r="Q56" s="15"/>
      <c r="R56" s="17"/>
      <c r="S56"/>
      <c r="T56" s="15"/>
      <c r="U56" s="15"/>
      <c r="V56" s="16"/>
    </row>
    <row r="57" spans="3:40">
      <c r="C57" s="64" t="s">
        <v>272</v>
      </c>
      <c r="E57" s="2">
        <v>55</v>
      </c>
      <c r="F57" s="73" t="s">
        <v>117</v>
      </c>
      <c r="G57" s="2"/>
      <c r="H57" s="2"/>
      <c r="I57" s="2"/>
      <c r="J57" s="2"/>
      <c r="K57" s="2"/>
      <c r="L57" s="3">
        <v>-6</v>
      </c>
    </row>
    <row r="58" spans="3:40">
      <c r="C58" s="64" t="s">
        <v>274</v>
      </c>
      <c r="E58" s="2">
        <v>56</v>
      </c>
      <c r="F58" s="73" t="s">
        <v>118</v>
      </c>
      <c r="G58" s="2"/>
      <c r="H58" s="2"/>
      <c r="I58" s="2"/>
      <c r="J58" s="2"/>
      <c r="K58" s="2"/>
      <c r="L58" s="3">
        <v>-5</v>
      </c>
    </row>
    <row r="59" spans="3:40">
      <c r="E59" s="2">
        <v>57</v>
      </c>
      <c r="F59" s="73" t="s">
        <v>34</v>
      </c>
      <c r="G59" s="2"/>
      <c r="H59" s="2"/>
      <c r="I59" s="2"/>
      <c r="J59" s="2"/>
      <c r="K59" s="2"/>
      <c r="L59" s="3">
        <v>4</v>
      </c>
    </row>
    <row r="60" spans="3:40">
      <c r="E60" s="2">
        <v>58</v>
      </c>
      <c r="F60" s="73" t="s">
        <v>119</v>
      </c>
      <c r="G60" s="2"/>
      <c r="H60" s="2"/>
      <c r="I60" s="2"/>
      <c r="J60" s="2"/>
      <c r="K60" s="2"/>
      <c r="L60" s="3">
        <v>2</v>
      </c>
    </row>
    <row r="61" spans="3:40">
      <c r="E61" s="2">
        <v>59</v>
      </c>
      <c r="F61" s="73" t="s">
        <v>35</v>
      </c>
      <c r="G61" s="2"/>
      <c r="H61" s="2"/>
      <c r="I61" s="2"/>
      <c r="J61" s="2"/>
      <c r="K61" s="2"/>
      <c r="L61" s="3">
        <v>6</v>
      </c>
    </row>
    <row r="62" spans="3:40">
      <c r="E62" s="2">
        <v>60</v>
      </c>
      <c r="F62" s="73" t="s">
        <v>120</v>
      </c>
      <c r="G62" s="2"/>
      <c r="H62" s="2"/>
      <c r="I62" s="2"/>
      <c r="J62" s="2"/>
      <c r="K62" s="2"/>
      <c r="L62" s="3">
        <v>2</v>
      </c>
    </row>
    <row r="63" spans="3:40">
      <c r="E63" s="2">
        <v>61</v>
      </c>
      <c r="F63" s="73" t="s">
        <v>36</v>
      </c>
      <c r="G63" s="2"/>
      <c r="H63" s="2"/>
      <c r="I63" s="2"/>
      <c r="J63" s="2"/>
      <c r="K63" s="2"/>
      <c r="L63" s="3">
        <v>1</v>
      </c>
      <c r="AN63" s="196"/>
    </row>
    <row r="64" spans="3:40">
      <c r="E64" s="2">
        <v>62</v>
      </c>
      <c r="F64" s="73" t="s">
        <v>37</v>
      </c>
      <c r="G64" s="2"/>
      <c r="H64" s="2"/>
      <c r="I64" s="2"/>
      <c r="J64" s="2"/>
      <c r="K64" s="2"/>
      <c r="L64" s="3">
        <v>3.5</v>
      </c>
    </row>
    <row r="65" spans="5:12">
      <c r="E65" s="2">
        <v>63</v>
      </c>
      <c r="F65" s="73" t="s">
        <v>121</v>
      </c>
      <c r="G65" s="2"/>
      <c r="H65" s="2"/>
      <c r="I65" s="2"/>
      <c r="J65" s="2"/>
      <c r="K65" s="2"/>
      <c r="L65" s="3">
        <v>12</v>
      </c>
    </row>
    <row r="66" spans="5:12">
      <c r="E66" s="2">
        <v>64</v>
      </c>
      <c r="F66" s="73" t="s">
        <v>38</v>
      </c>
      <c r="G66" s="2"/>
      <c r="H66" s="2"/>
      <c r="I66" s="2"/>
      <c r="J66" s="2"/>
      <c r="K66" s="2"/>
      <c r="L66" s="3">
        <v>4</v>
      </c>
    </row>
    <row r="67" spans="5:12">
      <c r="E67" s="2">
        <v>65</v>
      </c>
      <c r="F67" s="73" t="s">
        <v>39</v>
      </c>
      <c r="G67" s="2"/>
      <c r="H67" s="2"/>
      <c r="I67" s="2"/>
      <c r="J67" s="2"/>
      <c r="K67" s="2"/>
      <c r="L67" s="3">
        <v>2</v>
      </c>
    </row>
    <row r="68" spans="5:12">
      <c r="E68" s="2">
        <v>66</v>
      </c>
      <c r="F68" s="73" t="s">
        <v>40</v>
      </c>
      <c r="G68" s="2"/>
      <c r="H68" s="2"/>
      <c r="I68" s="2"/>
      <c r="J68" s="2"/>
      <c r="K68" s="2"/>
      <c r="L68" s="3">
        <v>-6</v>
      </c>
    </row>
    <row r="69" spans="5:12">
      <c r="E69" s="2">
        <v>67</v>
      </c>
      <c r="F69" s="73" t="s">
        <v>41</v>
      </c>
      <c r="G69" s="2"/>
      <c r="H69" s="2"/>
      <c r="I69" s="2"/>
      <c r="J69" s="2"/>
      <c r="K69" s="2"/>
      <c r="L69" s="3">
        <v>13</v>
      </c>
    </row>
    <row r="70" spans="5:12">
      <c r="E70" s="2">
        <v>68</v>
      </c>
      <c r="F70" s="73" t="s">
        <v>42</v>
      </c>
      <c r="G70" s="2"/>
      <c r="H70" s="2"/>
      <c r="I70" s="2"/>
      <c r="J70" s="2"/>
      <c r="K70" s="2"/>
      <c r="L70" s="3">
        <v>4.5</v>
      </c>
    </row>
    <row r="71" spans="5:12">
      <c r="E71" s="2">
        <v>69</v>
      </c>
      <c r="F71" s="73" t="s">
        <v>43</v>
      </c>
      <c r="G71" s="2"/>
      <c r="H71" s="2"/>
      <c r="I71" s="2"/>
      <c r="J71" s="2"/>
      <c r="K71" s="2"/>
      <c r="L71" s="3">
        <v>7</v>
      </c>
    </row>
    <row r="72" spans="5:12">
      <c r="E72" s="2">
        <v>70</v>
      </c>
      <c r="F72" s="73" t="s">
        <v>44</v>
      </c>
      <c r="G72" s="2"/>
      <c r="H72" s="2"/>
      <c r="I72" s="2"/>
      <c r="J72" s="2"/>
      <c r="K72" s="2"/>
      <c r="L72" s="3">
        <v>2</v>
      </c>
    </row>
    <row r="73" spans="5:12">
      <c r="E73" s="2">
        <v>71</v>
      </c>
      <c r="F73" s="73" t="s">
        <v>122</v>
      </c>
      <c r="G73" s="2"/>
      <c r="H73" s="2"/>
      <c r="I73" s="2"/>
      <c r="J73" s="2"/>
      <c r="K73" s="2"/>
      <c r="L73" s="3">
        <v>2</v>
      </c>
    </row>
    <row r="74" spans="5:12">
      <c r="E74" s="2">
        <v>72</v>
      </c>
      <c r="F74" s="73" t="s">
        <v>45</v>
      </c>
      <c r="G74" s="2"/>
      <c r="H74" s="2"/>
      <c r="I74" s="2"/>
      <c r="J74" s="2"/>
      <c r="K74" s="2"/>
      <c r="L74" s="3">
        <v>-5</v>
      </c>
    </row>
    <row r="75" spans="5:12">
      <c r="E75" s="2">
        <v>73</v>
      </c>
      <c r="F75" s="73" t="s">
        <v>46</v>
      </c>
      <c r="G75" s="2"/>
      <c r="H75" s="2"/>
      <c r="I75" s="2"/>
      <c r="J75" s="2"/>
      <c r="K75" s="2"/>
      <c r="L75" s="3">
        <v>0</v>
      </c>
    </row>
    <row r="76" spans="5:12">
      <c r="E76" s="2">
        <v>74</v>
      </c>
      <c r="F76" s="73" t="s">
        <v>47</v>
      </c>
      <c r="G76" s="2"/>
      <c r="H76" s="2"/>
      <c r="I76" s="2"/>
      <c r="J76" s="2"/>
      <c r="K76" s="2"/>
      <c r="L76" s="3">
        <v>4</v>
      </c>
    </row>
    <row r="77" spans="5:12">
      <c r="E77" s="2">
        <v>75</v>
      </c>
      <c r="F77" s="73" t="s">
        <v>48</v>
      </c>
      <c r="G77" s="2"/>
      <c r="H77" s="2"/>
      <c r="I77" s="2"/>
      <c r="J77" s="2"/>
      <c r="K77" s="2"/>
      <c r="L77" s="3">
        <v>-6</v>
      </c>
    </row>
    <row r="78" spans="5:12">
      <c r="E78" s="2">
        <v>76</v>
      </c>
      <c r="F78" s="73" t="s">
        <v>123</v>
      </c>
      <c r="G78" s="2"/>
      <c r="H78" s="2"/>
      <c r="I78" s="2"/>
      <c r="J78" s="2"/>
      <c r="K78" s="2"/>
      <c r="L78" s="3">
        <v>0</v>
      </c>
    </row>
    <row r="79" spans="5:12">
      <c r="E79" s="2">
        <v>77</v>
      </c>
      <c r="F79" s="73" t="s">
        <v>90</v>
      </c>
      <c r="G79" s="2"/>
      <c r="H79" s="2"/>
      <c r="I79" s="2"/>
      <c r="J79" s="2"/>
      <c r="K79" s="2"/>
      <c r="L79" s="3">
        <v>0</v>
      </c>
    </row>
    <row r="80" spans="5:12">
      <c r="E80" s="2">
        <v>78</v>
      </c>
      <c r="F80" s="73" t="s">
        <v>124</v>
      </c>
      <c r="G80" s="2"/>
      <c r="H80" s="2"/>
      <c r="I80" s="2"/>
      <c r="J80" s="2"/>
      <c r="K80" s="2"/>
      <c r="L80" s="3">
        <v>-8</v>
      </c>
    </row>
    <row r="81" spans="5:12">
      <c r="E81" s="2">
        <v>79</v>
      </c>
      <c r="F81" s="73" t="s">
        <v>125</v>
      </c>
      <c r="G81" s="2"/>
      <c r="H81" s="2"/>
      <c r="I81" s="2"/>
      <c r="J81" s="2"/>
      <c r="K81" s="2"/>
      <c r="L81" s="3">
        <v>1</v>
      </c>
    </row>
    <row r="82" spans="5:12">
      <c r="E82" s="2">
        <v>80</v>
      </c>
      <c r="F82" s="73" t="s">
        <v>49</v>
      </c>
      <c r="G82" s="2"/>
      <c r="H82" s="2"/>
      <c r="I82" s="2"/>
      <c r="J82" s="2"/>
      <c r="K82" s="2"/>
      <c r="L82" s="3">
        <v>-7</v>
      </c>
    </row>
    <row r="83" spans="5:12">
      <c r="E83" s="2">
        <v>81</v>
      </c>
      <c r="F83" s="73" t="s">
        <v>50</v>
      </c>
      <c r="G83" s="2"/>
      <c r="H83" s="2"/>
      <c r="I83" s="2"/>
      <c r="J83" s="2"/>
      <c r="K83" s="2"/>
      <c r="L83" s="3">
        <v>7</v>
      </c>
    </row>
    <row r="84" spans="5:12">
      <c r="E84" s="2">
        <v>82</v>
      </c>
      <c r="F84" s="73" t="s">
        <v>51</v>
      </c>
      <c r="G84" s="2"/>
      <c r="H84" s="2"/>
      <c r="I84" s="2"/>
      <c r="J84" s="2"/>
      <c r="K84" s="2"/>
      <c r="L84" s="3">
        <v>9</v>
      </c>
    </row>
    <row r="85" spans="5:12">
      <c r="E85" s="2">
        <v>83</v>
      </c>
      <c r="F85" s="73" t="s">
        <v>126</v>
      </c>
      <c r="G85" s="2"/>
      <c r="H85" s="2"/>
      <c r="I85" s="2"/>
      <c r="J85" s="2"/>
      <c r="K85" s="2"/>
      <c r="L85" s="3">
        <v>-6</v>
      </c>
    </row>
    <row r="86" spans="5:12">
      <c r="E86" s="2">
        <v>84</v>
      </c>
      <c r="F86" s="73" t="s">
        <v>127</v>
      </c>
      <c r="G86" s="2"/>
      <c r="H86" s="2"/>
      <c r="I86" s="2"/>
      <c r="J86" s="2"/>
      <c r="K86" s="2"/>
      <c r="L86" s="3">
        <v>-5</v>
      </c>
    </row>
    <row r="87" spans="5:12">
      <c r="E87" s="2">
        <v>85</v>
      </c>
      <c r="F87" s="73" t="s">
        <v>128</v>
      </c>
      <c r="G87" s="2"/>
      <c r="H87" s="2"/>
      <c r="I87" s="2"/>
      <c r="J87" s="2"/>
      <c r="K87" s="2"/>
      <c r="L87" s="3">
        <v>-6</v>
      </c>
    </row>
    <row r="88" spans="5:12">
      <c r="E88" s="2">
        <v>86</v>
      </c>
      <c r="F88" s="73" t="s">
        <v>129</v>
      </c>
      <c r="G88" s="2"/>
      <c r="H88" s="2"/>
      <c r="I88" s="2"/>
      <c r="J88" s="2"/>
      <c r="K88" s="2"/>
      <c r="L88" s="3">
        <v>2</v>
      </c>
    </row>
    <row r="89" spans="5:12">
      <c r="E89" s="2">
        <v>87</v>
      </c>
      <c r="F89" s="73" t="s">
        <v>52</v>
      </c>
      <c r="G89" s="2"/>
      <c r="H89" s="2"/>
      <c r="I89" s="2"/>
      <c r="J89" s="2"/>
      <c r="K89" s="2"/>
      <c r="L89" s="3">
        <v>-4</v>
      </c>
    </row>
    <row r="90" spans="5:12">
      <c r="E90" s="2">
        <v>88</v>
      </c>
      <c r="F90" s="73" t="s">
        <v>130</v>
      </c>
      <c r="G90" s="2"/>
      <c r="H90" s="2"/>
      <c r="I90" s="2"/>
      <c r="J90" s="2"/>
      <c r="K90" s="2"/>
      <c r="L90" s="3">
        <v>-6</v>
      </c>
    </row>
    <row r="91" spans="5:12">
      <c r="E91" s="2">
        <v>89</v>
      </c>
      <c r="F91" s="73" t="s">
        <v>131</v>
      </c>
      <c r="G91" s="2"/>
      <c r="H91" s="2"/>
      <c r="I91" s="2"/>
      <c r="J91" s="2"/>
      <c r="K91" s="2"/>
      <c r="L91" s="3">
        <v>-5</v>
      </c>
    </row>
    <row r="92" spans="5:12">
      <c r="E92" s="2">
        <v>90</v>
      </c>
      <c r="F92" s="73" t="s">
        <v>132</v>
      </c>
      <c r="G92" s="2"/>
      <c r="H92" s="2"/>
      <c r="I92" s="2"/>
      <c r="J92" s="2"/>
      <c r="K92" s="2"/>
      <c r="L92" s="3">
        <v>3</v>
      </c>
    </row>
    <row r="93" spans="5:12">
      <c r="E93" s="2">
        <v>91</v>
      </c>
      <c r="F93" s="73" t="s">
        <v>53</v>
      </c>
      <c r="G93" s="2"/>
      <c r="H93" s="2"/>
      <c r="I93" s="2"/>
      <c r="J93" s="2"/>
      <c r="K93" s="2"/>
      <c r="L93" s="3">
        <v>4.5</v>
      </c>
    </row>
    <row r="94" spans="5:12">
      <c r="E94" s="2">
        <v>92</v>
      </c>
      <c r="F94" s="73" t="s">
        <v>54</v>
      </c>
      <c r="G94" s="2"/>
      <c r="H94" s="2"/>
      <c r="I94" s="2"/>
      <c r="J94" s="2"/>
      <c r="K94" s="2"/>
      <c r="L94" s="3">
        <v>2</v>
      </c>
    </row>
    <row r="95" spans="5:12">
      <c r="E95" s="2">
        <v>93</v>
      </c>
      <c r="F95" s="73" t="s">
        <v>133</v>
      </c>
      <c r="G95" s="2"/>
      <c r="H95" s="2"/>
      <c r="I95" s="2"/>
      <c r="J95" s="2"/>
      <c r="K95" s="2"/>
      <c r="L95" s="3">
        <v>-5</v>
      </c>
    </row>
    <row r="96" spans="5:12">
      <c r="E96" s="2">
        <v>94</v>
      </c>
      <c r="F96" s="73" t="s">
        <v>55</v>
      </c>
      <c r="G96" s="2"/>
      <c r="H96" s="2"/>
      <c r="I96" s="2"/>
      <c r="J96" s="2"/>
      <c r="K96" s="2"/>
      <c r="L96" s="3">
        <v>4.5</v>
      </c>
    </row>
    <row r="97" spans="5:12">
      <c r="E97" s="2">
        <v>95</v>
      </c>
      <c r="F97" s="73" t="s">
        <v>134</v>
      </c>
      <c r="G97" s="2"/>
      <c r="H97" s="2"/>
      <c r="I97" s="2"/>
      <c r="J97" s="2"/>
      <c r="K97" s="2"/>
      <c r="L97" s="3">
        <v>-6</v>
      </c>
    </row>
    <row r="98" spans="5:12">
      <c r="E98" s="2">
        <v>96</v>
      </c>
      <c r="F98" s="73" t="s">
        <v>135</v>
      </c>
      <c r="G98" s="2"/>
      <c r="H98" s="2"/>
      <c r="I98" s="2"/>
      <c r="J98" s="2"/>
      <c r="K98" s="2"/>
      <c r="L98" s="3">
        <v>-5</v>
      </c>
    </row>
    <row r="99" spans="5:12">
      <c r="E99" s="2">
        <v>97</v>
      </c>
      <c r="F99" s="73" t="s">
        <v>136</v>
      </c>
      <c r="G99" s="2"/>
      <c r="H99" s="2"/>
      <c r="I99" s="2"/>
      <c r="J99" s="2"/>
      <c r="K99" s="2"/>
      <c r="L99" s="3">
        <v>1</v>
      </c>
    </row>
    <row r="100" spans="5:12">
      <c r="E100" s="2">
        <v>98</v>
      </c>
      <c r="F100" s="73" t="s">
        <v>137</v>
      </c>
      <c r="G100" s="2"/>
      <c r="H100" s="2"/>
      <c r="I100" s="2"/>
      <c r="J100" s="2"/>
      <c r="K100" s="2"/>
      <c r="L100" s="3">
        <v>-5</v>
      </c>
    </row>
    <row r="101" spans="5:12">
      <c r="E101" s="2">
        <v>99</v>
      </c>
      <c r="F101" s="73" t="s">
        <v>138</v>
      </c>
      <c r="G101" s="2"/>
      <c r="H101" s="2"/>
      <c r="I101" s="2"/>
      <c r="J101" s="2"/>
      <c r="K101" s="2"/>
      <c r="L101" s="3">
        <v>1</v>
      </c>
    </row>
    <row r="102" spans="5:12">
      <c r="E102" s="2">
        <v>100</v>
      </c>
      <c r="F102" s="73" t="s">
        <v>56</v>
      </c>
      <c r="G102" s="2"/>
      <c r="H102" s="2"/>
      <c r="I102" s="2"/>
      <c r="J102" s="2"/>
      <c r="K102" s="2"/>
      <c r="L102" s="3">
        <v>7</v>
      </c>
    </row>
    <row r="103" spans="5:12">
      <c r="E103" s="2">
        <v>101</v>
      </c>
      <c r="F103" s="73" t="s">
        <v>139</v>
      </c>
      <c r="G103" s="2"/>
      <c r="H103" s="2"/>
      <c r="I103" s="2"/>
      <c r="J103" s="2"/>
      <c r="K103" s="2"/>
      <c r="L103" s="3">
        <v>-5</v>
      </c>
    </row>
    <row r="104" spans="5:12">
      <c r="E104" s="2">
        <v>102</v>
      </c>
      <c r="F104" s="73" t="s">
        <v>57</v>
      </c>
      <c r="G104" s="2"/>
      <c r="H104" s="2"/>
      <c r="I104" s="2"/>
      <c r="J104" s="2"/>
      <c r="K104" s="2"/>
      <c r="L104" s="3">
        <v>-8</v>
      </c>
    </row>
    <row r="105" spans="5:12">
      <c r="E105" s="2">
        <v>103</v>
      </c>
      <c r="F105" s="73" t="s">
        <v>140</v>
      </c>
      <c r="G105" s="2"/>
      <c r="H105" s="2"/>
      <c r="I105" s="2"/>
      <c r="J105" s="2"/>
      <c r="K105" s="2"/>
      <c r="L105" s="3">
        <v>1</v>
      </c>
    </row>
    <row r="106" spans="5:12">
      <c r="E106" s="2">
        <v>104</v>
      </c>
      <c r="F106" s="73" t="s">
        <v>58</v>
      </c>
      <c r="G106" s="2"/>
      <c r="H106" s="2"/>
      <c r="I106" s="2"/>
      <c r="J106" s="2"/>
      <c r="K106" s="2"/>
      <c r="L106" s="3">
        <v>-1</v>
      </c>
    </row>
    <row r="107" spans="5:12">
      <c r="E107" s="2">
        <v>105</v>
      </c>
      <c r="F107" s="73" t="s">
        <v>59</v>
      </c>
      <c r="G107" s="2"/>
      <c r="H107" s="2"/>
      <c r="I107" s="2"/>
      <c r="J107" s="2"/>
      <c r="K107" s="2"/>
      <c r="L107" s="3">
        <v>-4</v>
      </c>
    </row>
    <row r="108" spans="5:12">
      <c r="E108" s="2">
        <v>106</v>
      </c>
      <c r="F108" s="73" t="s">
        <v>60</v>
      </c>
      <c r="G108" s="2"/>
      <c r="H108" s="2"/>
      <c r="I108" s="2"/>
      <c r="J108" s="2"/>
      <c r="K108" s="2"/>
      <c r="L108" s="3">
        <v>2</v>
      </c>
    </row>
    <row r="109" spans="5:12">
      <c r="E109" s="2">
        <v>107</v>
      </c>
      <c r="F109" s="73" t="s">
        <v>141</v>
      </c>
      <c r="G109" s="2"/>
      <c r="H109" s="2"/>
      <c r="I109" s="2"/>
      <c r="J109" s="2"/>
      <c r="K109" s="2"/>
      <c r="L109" s="3">
        <v>1</v>
      </c>
    </row>
    <row r="110" spans="5:12">
      <c r="E110" s="2">
        <v>108</v>
      </c>
      <c r="F110" s="73" t="s">
        <v>142</v>
      </c>
      <c r="G110" s="2"/>
      <c r="H110" s="2"/>
      <c r="I110" s="2"/>
      <c r="J110" s="2"/>
      <c r="K110" s="2"/>
      <c r="L110" s="3">
        <v>-8</v>
      </c>
    </row>
    <row r="111" spans="5:12">
      <c r="E111" s="2">
        <v>109</v>
      </c>
      <c r="F111" s="73" t="s">
        <v>61</v>
      </c>
      <c r="G111" s="2"/>
      <c r="H111" s="2"/>
      <c r="I111" s="2"/>
      <c r="J111" s="2"/>
      <c r="K111" s="2"/>
      <c r="L111" s="3">
        <v>-5</v>
      </c>
    </row>
    <row r="112" spans="5:12">
      <c r="E112" s="2">
        <v>110</v>
      </c>
      <c r="F112" s="73" t="s">
        <v>62</v>
      </c>
      <c r="G112" s="2"/>
      <c r="H112" s="2"/>
      <c r="I112" s="2"/>
      <c r="J112" s="2"/>
      <c r="K112" s="2"/>
      <c r="L112" s="3">
        <v>-7</v>
      </c>
    </row>
    <row r="113" spans="5:12">
      <c r="E113" s="2">
        <v>111</v>
      </c>
      <c r="F113" s="73" t="s">
        <v>63</v>
      </c>
      <c r="G113" s="2"/>
      <c r="H113" s="2"/>
      <c r="I113" s="2"/>
      <c r="J113" s="2"/>
      <c r="K113" s="2"/>
      <c r="L113" s="3">
        <v>-5</v>
      </c>
    </row>
    <row r="114" spans="5:12">
      <c r="E114" s="2">
        <v>112</v>
      </c>
      <c r="F114" s="73" t="s">
        <v>64</v>
      </c>
      <c r="G114" s="2"/>
      <c r="H114" s="2"/>
      <c r="I114" s="2"/>
      <c r="J114" s="2"/>
      <c r="K114" s="2"/>
      <c r="L114" s="3">
        <v>-5</v>
      </c>
    </row>
    <row r="115" spans="5:12">
      <c r="E115" s="2">
        <v>113</v>
      </c>
      <c r="F115" s="73" t="s">
        <v>65</v>
      </c>
      <c r="G115" s="2"/>
      <c r="H115" s="2"/>
      <c r="I115" s="2"/>
      <c r="J115" s="2"/>
      <c r="K115" s="2"/>
      <c r="L115" s="3">
        <v>-4</v>
      </c>
    </row>
    <row r="116" spans="5:12">
      <c r="E116" s="2">
        <v>114</v>
      </c>
      <c r="F116" s="73" t="s">
        <v>143</v>
      </c>
      <c r="G116" s="2"/>
      <c r="H116" s="2"/>
      <c r="I116" s="2"/>
      <c r="J116" s="2"/>
      <c r="K116" s="2"/>
      <c r="L116" s="3">
        <v>-8</v>
      </c>
    </row>
    <row r="117" spans="5:12">
      <c r="E117" s="2">
        <v>115</v>
      </c>
      <c r="F117" s="73" t="s">
        <v>66</v>
      </c>
      <c r="G117" s="2"/>
      <c r="H117" s="2"/>
      <c r="I117" s="2"/>
      <c r="J117" s="2"/>
      <c r="K117" s="2"/>
      <c r="L117" s="3">
        <v>8</v>
      </c>
    </row>
    <row r="118" spans="5:12">
      <c r="E118" s="2">
        <v>116</v>
      </c>
      <c r="F118" s="73" t="s">
        <v>67</v>
      </c>
      <c r="G118" s="2"/>
      <c r="H118" s="2"/>
      <c r="I118" s="2"/>
      <c r="J118" s="2"/>
      <c r="K118" s="2"/>
      <c r="L118" s="3">
        <v>7</v>
      </c>
    </row>
    <row r="119" spans="5:12">
      <c r="E119" s="2">
        <v>117</v>
      </c>
      <c r="F119" s="73" t="s">
        <v>68</v>
      </c>
      <c r="G119" s="2"/>
      <c r="H119" s="2"/>
      <c r="I119" s="2"/>
      <c r="J119" s="2"/>
      <c r="K119" s="2"/>
      <c r="L119" s="3">
        <v>7</v>
      </c>
    </row>
    <row r="120" spans="5:12">
      <c r="E120" s="2">
        <v>118</v>
      </c>
      <c r="F120" s="73" t="s">
        <v>144</v>
      </c>
      <c r="G120" s="2"/>
      <c r="H120" s="2"/>
      <c r="I120" s="2"/>
      <c r="J120" s="2"/>
      <c r="K120" s="2"/>
      <c r="L120" s="3">
        <v>2</v>
      </c>
    </row>
    <row r="121" spans="5:12">
      <c r="E121" s="2">
        <v>119</v>
      </c>
      <c r="F121" s="73" t="s">
        <v>145</v>
      </c>
      <c r="G121" s="2"/>
      <c r="H121" s="2"/>
      <c r="I121" s="2"/>
      <c r="J121" s="2"/>
      <c r="K121" s="2"/>
      <c r="L121" s="3">
        <v>-3</v>
      </c>
    </row>
    <row r="122" spans="5:12">
      <c r="E122" s="2">
        <v>120</v>
      </c>
      <c r="F122" s="73" t="s">
        <v>146</v>
      </c>
      <c r="G122" s="2"/>
      <c r="H122" s="2"/>
      <c r="I122" s="2"/>
      <c r="J122" s="2"/>
      <c r="K122" s="2"/>
      <c r="L122" s="3">
        <v>-6</v>
      </c>
    </row>
    <row r="123" spans="5:12">
      <c r="E123" s="2">
        <v>121</v>
      </c>
      <c r="F123" s="73" t="s">
        <v>147</v>
      </c>
      <c r="G123" s="2"/>
      <c r="H123" s="2"/>
      <c r="I123" s="2"/>
      <c r="J123" s="2"/>
      <c r="K123" s="2"/>
      <c r="L123" s="3">
        <v>1</v>
      </c>
    </row>
    <row r="124" spans="5:12">
      <c r="E124" s="2">
        <v>122</v>
      </c>
      <c r="F124" s="73" t="s">
        <v>69</v>
      </c>
      <c r="G124" s="2"/>
      <c r="H124" s="2"/>
      <c r="I124" s="2"/>
      <c r="J124" s="2"/>
      <c r="K124" s="2"/>
      <c r="L124" s="3">
        <v>11</v>
      </c>
    </row>
    <row r="125" spans="5:12">
      <c r="E125" s="2">
        <v>123</v>
      </c>
      <c r="F125" s="73" t="s">
        <v>70</v>
      </c>
      <c r="G125" s="2"/>
      <c r="H125" s="2"/>
      <c r="I125" s="2"/>
      <c r="J125" s="2"/>
      <c r="K125" s="2"/>
      <c r="L125" s="3">
        <v>9</v>
      </c>
    </row>
    <row r="126" spans="5:12">
      <c r="E126" s="2">
        <v>124</v>
      </c>
      <c r="F126" s="73" t="s">
        <v>71</v>
      </c>
      <c r="G126" s="2"/>
      <c r="H126" s="2"/>
      <c r="I126" s="2"/>
      <c r="J126" s="2"/>
      <c r="K126" s="2"/>
      <c r="L126" s="3">
        <v>7</v>
      </c>
    </row>
    <row r="127" spans="5:12">
      <c r="E127" s="2">
        <v>125</v>
      </c>
      <c r="F127" s="73" t="s">
        <v>148</v>
      </c>
      <c r="G127" s="2"/>
      <c r="H127" s="2"/>
      <c r="I127" s="2"/>
      <c r="J127" s="2"/>
      <c r="K127" s="2"/>
      <c r="L127" s="3">
        <v>2</v>
      </c>
    </row>
    <row r="128" spans="5:12">
      <c r="E128" s="2">
        <v>126</v>
      </c>
      <c r="F128" s="73" t="s">
        <v>72</v>
      </c>
      <c r="G128" s="2"/>
      <c r="H128" s="2"/>
      <c r="I128" s="2"/>
      <c r="J128" s="2"/>
      <c r="K128" s="2"/>
      <c r="L128" s="3">
        <v>4</v>
      </c>
    </row>
    <row r="129" spans="5:12">
      <c r="E129" s="2">
        <v>127</v>
      </c>
      <c r="F129" s="73" t="s">
        <v>73</v>
      </c>
      <c r="G129" s="2"/>
      <c r="H129" s="2"/>
      <c r="I129" s="2"/>
      <c r="J129" s="2"/>
      <c r="K129" s="2"/>
      <c r="L129" s="3">
        <v>-7</v>
      </c>
    </row>
    <row r="130" spans="5:12">
      <c r="E130" s="2">
        <v>128</v>
      </c>
      <c r="F130" s="73" t="s">
        <v>149</v>
      </c>
      <c r="G130" s="2"/>
      <c r="H130" s="2"/>
      <c r="I130" s="2"/>
      <c r="J130" s="2"/>
      <c r="K130" s="2"/>
      <c r="L130" s="3">
        <v>3.5</v>
      </c>
    </row>
    <row r="131" spans="5:12">
      <c r="E131" s="2">
        <v>129</v>
      </c>
      <c r="F131" s="73" t="s">
        <v>74</v>
      </c>
      <c r="G131" s="2"/>
      <c r="H131" s="2"/>
      <c r="I131" s="2"/>
      <c r="J131" s="2"/>
      <c r="K131" s="2"/>
      <c r="L131" s="3">
        <v>8</v>
      </c>
    </row>
    <row r="132" spans="5:12">
      <c r="E132" s="2">
        <v>130</v>
      </c>
      <c r="F132" s="73" t="s">
        <v>150</v>
      </c>
      <c r="G132" s="2"/>
      <c r="H132" s="2"/>
      <c r="I132" s="2"/>
      <c r="J132" s="2"/>
      <c r="K132" s="2"/>
      <c r="L132" s="3">
        <v>-5</v>
      </c>
    </row>
    <row r="133" spans="5:12">
      <c r="E133" s="2">
        <v>131</v>
      </c>
      <c r="F133" s="73" t="s">
        <v>151</v>
      </c>
      <c r="G133" s="2"/>
      <c r="H133" s="2"/>
      <c r="I133" s="2"/>
      <c r="J133" s="2"/>
      <c r="K133" s="2"/>
      <c r="L133" s="3">
        <v>-8</v>
      </c>
    </row>
    <row r="134" spans="5:12">
      <c r="E134" s="2">
        <v>132</v>
      </c>
      <c r="F134" s="73" t="s">
        <v>152</v>
      </c>
      <c r="G134" s="2"/>
      <c r="H134" s="2"/>
      <c r="I134" s="2"/>
      <c r="J134" s="2"/>
      <c r="K134" s="2"/>
      <c r="L134" s="3">
        <v>1</v>
      </c>
    </row>
    <row r="135" spans="5:12">
      <c r="E135" s="2">
        <v>133</v>
      </c>
      <c r="F135" s="73" t="s">
        <v>153</v>
      </c>
      <c r="G135" s="2"/>
      <c r="H135" s="2"/>
      <c r="I135" s="2"/>
      <c r="J135" s="2"/>
      <c r="K135" s="2"/>
      <c r="L135" s="3">
        <v>10</v>
      </c>
    </row>
    <row r="136" spans="5:12">
      <c r="E136" s="2">
        <v>134</v>
      </c>
      <c r="F136" s="73" t="s">
        <v>154</v>
      </c>
      <c r="G136" s="2"/>
      <c r="H136" s="2"/>
      <c r="I136" s="2"/>
      <c r="J136" s="2"/>
      <c r="K136" s="2"/>
      <c r="L136" s="3">
        <v>1</v>
      </c>
    </row>
    <row r="137" spans="5:12">
      <c r="E137" s="2">
        <v>135</v>
      </c>
      <c r="F137" s="73" t="s">
        <v>155</v>
      </c>
      <c r="G137" s="2"/>
      <c r="H137" s="2"/>
      <c r="I137" s="2"/>
      <c r="J137" s="2"/>
      <c r="K137" s="2"/>
      <c r="L137" s="3">
        <v>-5</v>
      </c>
    </row>
    <row r="138" spans="5:12">
      <c r="E138" s="2">
        <v>136</v>
      </c>
      <c r="F138" s="73" t="s">
        <v>156</v>
      </c>
      <c r="G138" s="2"/>
      <c r="H138" s="2"/>
      <c r="I138" s="2"/>
      <c r="J138" s="2"/>
      <c r="K138" s="2"/>
      <c r="L138" s="3">
        <v>-6</v>
      </c>
    </row>
    <row r="139" spans="5:12">
      <c r="E139" s="2">
        <v>137</v>
      </c>
      <c r="F139" s="73" t="s">
        <v>75</v>
      </c>
      <c r="G139" s="2"/>
      <c r="H139" s="2"/>
      <c r="I139" s="2"/>
      <c r="J139" s="2"/>
      <c r="K139" s="2"/>
      <c r="L139" s="3">
        <v>5.5</v>
      </c>
    </row>
    <row r="140" spans="5:12">
      <c r="E140" s="2">
        <v>138</v>
      </c>
      <c r="F140" s="73" t="s">
        <v>157</v>
      </c>
      <c r="G140" s="2"/>
      <c r="H140" s="2"/>
      <c r="I140" s="2"/>
      <c r="J140" s="2"/>
      <c r="K140" s="2"/>
      <c r="L140" s="3">
        <v>1</v>
      </c>
    </row>
    <row r="141" spans="5:12">
      <c r="E141" s="2">
        <v>139</v>
      </c>
      <c r="F141" s="73" t="s">
        <v>265</v>
      </c>
      <c r="G141" s="2"/>
      <c r="H141" s="2"/>
      <c r="I141" s="2"/>
      <c r="J141" s="2"/>
      <c r="K141" s="2"/>
      <c r="L141" s="3">
        <v>1</v>
      </c>
    </row>
  </sheetData>
  <autoFilter ref="E2:V2" xr:uid="{00000000-0009-0000-0000-000003000000}"/>
  <sortState ref="N3:V34">
    <sortCondition ref="N3:N34"/>
  </sortState>
  <conditionalFormatting sqref="O1:O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2018</vt:lpstr>
      <vt:lpstr>BOOKIE</vt:lpstr>
      <vt:lpstr>SET</vt:lpstr>
      <vt:lpstr>base</vt:lpstr>
      <vt:lpstr>cities</vt:lpstr>
      <vt:lpstr>city</vt:lpstr>
      <vt:lpstr>DatesColumn</vt:lpstr>
      <vt:lpstr>IndA</vt:lpstr>
      <vt:lpstr>IndB</vt:lpstr>
      <vt:lpstr>IndC</vt:lpstr>
      <vt:lpstr>IndD</vt:lpstr>
      <vt:lpstr>IndE</vt:lpstr>
      <vt:lpstr>IndF</vt:lpstr>
      <vt:lpstr>IndG</vt:lpstr>
      <vt:lpstr>IndH</vt:lpstr>
      <vt:lpstr>LanguagesTbl</vt:lpstr>
      <vt:lpstr>ranking_table</vt:lpstr>
      <vt:lpstr>StageColumn</vt:lpstr>
      <vt:lpstr>Tbl</vt:lpstr>
      <vt:lpstr>team</vt:lpstr>
      <vt:lpstr>teams</vt:lpstr>
      <vt:lpstr>TeamTbl</vt:lpstr>
      <vt:lpstr>time_zones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Cetnarski</dc:creator>
  <cp:lastModifiedBy>Yaser Taherkhani</cp:lastModifiedBy>
  <cp:lastPrinted>2014-10-16T17:30:09Z</cp:lastPrinted>
  <dcterms:created xsi:type="dcterms:W3CDTF">2013-01-10T14:16:32Z</dcterms:created>
  <dcterms:modified xsi:type="dcterms:W3CDTF">2018-06-08T19:43:16Z</dcterms:modified>
</cp:coreProperties>
</file>